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Mac\Home\Documents\TSI\White Papers\AgileWARE White Paper\"/>
    </mc:Choice>
  </mc:AlternateContent>
  <xr:revisionPtr revIDLastSave="0" documentId="13_ncr:1_{9F7698DF-DE1F-4924-8160-5002B8B09840}" xr6:coauthVersionLast="46" xr6:coauthVersionMax="46" xr10:uidLastSave="{00000000-0000-0000-0000-000000000000}"/>
  <bookViews>
    <workbookView xWindow="70455" yWindow="0" windowWidth="21690" windowHeight="10065" tabRatio="718" firstSheet="3" activeTab="8" xr2:uid="{00000000-000D-0000-FFFF-FFFF00000000}"/>
  </bookViews>
  <sheets>
    <sheet name="Overview" sheetId="2" r:id="rId1"/>
    <sheet name="Productivity" sheetId="1" r:id="rId2"/>
    <sheet name="Test Productivity" sheetId="11" r:id="rId3"/>
    <sheet name="Utilization" sheetId="6" r:id="rId4"/>
    <sheet name="Operational Expenses" sheetId="7" r:id="rId5"/>
    <sheet name="Time to Market" sheetId="3" r:id="rId6"/>
    <sheet name="Network Down Time" sheetId="4" r:id="rId7"/>
    <sheet name="Collaboration" sheetId="8" r:id="rId8"/>
    <sheet name="Investment" sheetId="9" r:id="rId9"/>
    <sheet name="Results" sheetId="10" r:id="rId10"/>
  </sheets>
  <calcPr calcId="181029"/>
</workbook>
</file>

<file path=xl/calcChain.xml><?xml version="1.0" encoding="utf-8"?>
<calcChain xmlns="http://schemas.openxmlformats.org/spreadsheetml/2006/main">
  <c r="D18" i="10" l="1"/>
  <c r="D22" i="10" s="1"/>
  <c r="J8" i="10"/>
  <c r="D13" i="9" l="1"/>
  <c r="E60" i="11" l="1"/>
  <c r="E59" i="11"/>
  <c r="E58" i="11"/>
  <c r="K54" i="11"/>
  <c r="I54" i="11" s="1"/>
  <c r="K26" i="11"/>
  <c r="I27" i="11" s="1"/>
  <c r="K27" i="11" s="1"/>
  <c r="I28" i="11" s="1"/>
  <c r="K28" i="11" s="1"/>
  <c r="I29" i="11" s="1"/>
  <c r="K29" i="11" s="1"/>
  <c r="I26" i="11"/>
  <c r="I25" i="11"/>
  <c r="K25" i="11" s="1"/>
  <c r="G21" i="11"/>
  <c r="K21" i="11" s="1"/>
  <c r="E21" i="11"/>
  <c r="K20" i="11"/>
  <c r="I20" i="11"/>
  <c r="K19" i="11"/>
  <c r="I19" i="11"/>
  <c r="K18" i="11"/>
  <c r="I18" i="11"/>
  <c r="K17" i="11"/>
  <c r="I17" i="11"/>
  <c r="K16" i="11"/>
  <c r="I16" i="11"/>
  <c r="K15" i="11"/>
  <c r="I15" i="11"/>
  <c r="E11" i="11"/>
  <c r="K10" i="11"/>
  <c r="I10" i="11"/>
  <c r="K9" i="11"/>
  <c r="I9" i="11"/>
  <c r="K8" i="11"/>
  <c r="I8" i="11"/>
  <c r="K7" i="11"/>
  <c r="I7" i="11"/>
  <c r="K6" i="11"/>
  <c r="I6" i="11"/>
  <c r="K11" i="11" l="1"/>
  <c r="K53" i="11"/>
  <c r="I53" i="11" s="1"/>
  <c r="K51" i="11"/>
  <c r="I51" i="11" s="1"/>
  <c r="I21" i="11"/>
  <c r="K50" i="11"/>
  <c r="I50" i="11" s="1"/>
  <c r="K52" i="11"/>
  <c r="I52" i="11" s="1"/>
  <c r="G30" i="11"/>
  <c r="E61" i="11" s="1"/>
  <c r="I30" i="11"/>
  <c r="E50" i="11"/>
  <c r="E53" i="11"/>
  <c r="E54" i="11"/>
  <c r="G50" i="11"/>
  <c r="G54" i="11"/>
  <c r="G53" i="11" l="1"/>
  <c r="E51" i="11"/>
  <c r="G52" i="11"/>
  <c r="K55" i="11"/>
  <c r="G61" i="11" s="1"/>
  <c r="I65" i="11" s="1"/>
  <c r="H9" i="10" s="1"/>
  <c r="I55" i="11"/>
  <c r="G60" i="11" s="1"/>
  <c r="I60" i="11" s="1"/>
  <c r="G51" i="11"/>
  <c r="E52" i="11"/>
  <c r="E55" i="11"/>
  <c r="G58" i="11" s="1"/>
  <c r="I58" i="11" s="1"/>
  <c r="G55" i="11" l="1"/>
  <c r="G59" i="11" s="1"/>
  <c r="I59" i="11" s="1"/>
  <c r="G65" i="11"/>
  <c r="F9" i="10" s="1"/>
  <c r="I61" i="11"/>
  <c r="E65" i="11" l="1"/>
  <c r="D9" i="10" s="1"/>
  <c r="J9" i="10" s="1"/>
  <c r="H7" i="9"/>
  <c r="H18" i="10" s="1"/>
  <c r="H22" i="10" s="1"/>
  <c r="H25" i="10" s="1"/>
  <c r="F7" i="9"/>
  <c r="F18" i="10" s="1"/>
  <c r="F22" i="10" s="1"/>
  <c r="F25" i="10" s="1"/>
  <c r="H20" i="10" l="1"/>
  <c r="H19" i="10"/>
  <c r="F20" i="10"/>
  <c r="F19" i="10"/>
  <c r="D20" i="10"/>
  <c r="D19" i="10"/>
  <c r="H17" i="9"/>
  <c r="F17" i="9"/>
  <c r="F21" i="10" s="1"/>
  <c r="D17" i="9"/>
  <c r="D16" i="9"/>
  <c r="J16" i="9" s="1"/>
  <c r="D15" i="9"/>
  <c r="J15" i="9" s="1"/>
  <c r="D14" i="9"/>
  <c r="J14" i="9" s="1"/>
  <c r="H13" i="8"/>
  <c r="H12" i="8"/>
  <c r="H11" i="8"/>
  <c r="H10" i="8"/>
  <c r="F15" i="8"/>
  <c r="F16" i="8" s="1"/>
  <c r="D15" i="8"/>
  <c r="H19" i="1"/>
  <c r="H18" i="1"/>
  <c r="H17" i="1"/>
  <c r="H16" i="1"/>
  <c r="H15" i="1"/>
  <c r="H14" i="1"/>
  <c r="H13" i="1"/>
  <c r="D18" i="7"/>
  <c r="D19" i="7" s="1"/>
  <c r="D21" i="7" s="1"/>
  <c r="F11" i="10" s="1"/>
  <c r="D8" i="7"/>
  <c r="F11" i="6"/>
  <c r="H11" i="6" s="1"/>
  <c r="J11" i="6" s="1"/>
  <c r="F7" i="6"/>
  <c r="H7" i="6" s="1"/>
  <c r="J7" i="6" s="1"/>
  <c r="F6" i="6"/>
  <c r="H6" i="6" s="1"/>
  <c r="J6" i="6" s="1"/>
  <c r="F20" i="1"/>
  <c r="F21" i="1" s="1"/>
  <c r="F32" i="1" s="1"/>
  <c r="D20" i="1"/>
  <c r="D21" i="1" s="1"/>
  <c r="D32" i="1" s="1"/>
  <c r="F27" i="1"/>
  <c r="F28" i="1" s="1"/>
  <c r="F33" i="1" s="1"/>
  <c r="D27" i="1"/>
  <c r="D28" i="1" s="1"/>
  <c r="D33" i="1" s="1"/>
  <c r="H15" i="8" l="1"/>
  <c r="J17" i="9"/>
  <c r="H11" i="10"/>
  <c r="D11" i="10"/>
  <c r="F18" i="9"/>
  <c r="H18" i="9"/>
  <c r="J13" i="9"/>
  <c r="D16" i="8"/>
  <c r="H21" i="1"/>
  <c r="D40" i="3" s="1"/>
  <c r="H20" i="1"/>
  <c r="F8" i="6"/>
  <c r="F13" i="6" s="1"/>
  <c r="F14" i="6" s="1"/>
  <c r="J8" i="6"/>
  <c r="J13" i="6" s="1"/>
  <c r="J14" i="6" s="1"/>
  <c r="H8" i="6"/>
  <c r="H13" i="6" s="1"/>
  <c r="H14" i="6" s="1"/>
  <c r="F34" i="1"/>
  <c r="H32" i="1"/>
  <c r="H33" i="1"/>
  <c r="J20" i="10"/>
  <c r="J19" i="10"/>
  <c r="J18" i="10"/>
  <c r="J22" i="10" s="1"/>
  <c r="J9" i="9"/>
  <c r="J8" i="9"/>
  <c r="J7" i="9"/>
  <c r="D18" i="4"/>
  <c r="D17" i="4"/>
  <c r="J25" i="10" l="1"/>
  <c r="K22" i="10"/>
  <c r="D10" i="9"/>
  <c r="H10" i="9"/>
  <c r="H20" i="9" s="1"/>
  <c r="F10" i="9"/>
  <c r="F20" i="9" s="1"/>
  <c r="J18" i="9"/>
  <c r="H21" i="10"/>
  <c r="J11" i="10"/>
  <c r="H34" i="1"/>
  <c r="D8" i="10" s="1"/>
  <c r="D18" i="9"/>
  <c r="J10" i="9"/>
  <c r="H16" i="8"/>
  <c r="D28" i="8"/>
  <c r="J18" i="6"/>
  <c r="J25" i="6"/>
  <c r="H10" i="10" s="1"/>
  <c r="F18" i="6"/>
  <c r="F25" i="6"/>
  <c r="D10" i="10" s="1"/>
  <c r="H18" i="6"/>
  <c r="H25" i="6"/>
  <c r="F10" i="10" s="1"/>
  <c r="D19" i="4"/>
  <c r="D21" i="4" s="1"/>
  <c r="D37" i="3"/>
  <c r="D41" i="3" s="1"/>
  <c r="D43" i="3" s="1"/>
  <c r="F13" i="10" l="1"/>
  <c r="D13" i="10"/>
  <c r="H13" i="10"/>
  <c r="J10" i="10"/>
  <c r="F12" i="10"/>
  <c r="H12" i="10"/>
  <c r="D12" i="10"/>
  <c r="F8" i="10"/>
  <c r="H8" i="10"/>
  <c r="J20" i="9"/>
  <c r="D21" i="10"/>
  <c r="J21" i="10" s="1"/>
  <c r="D20" i="9"/>
  <c r="F14" i="10"/>
  <c r="D14" i="10"/>
  <c r="H14" i="10"/>
  <c r="J13" i="10" l="1"/>
  <c r="J12" i="10"/>
  <c r="H15" i="10"/>
  <c r="F15" i="10"/>
  <c r="J14" i="10"/>
  <c r="D15" i="10"/>
  <c r="D34" i="1"/>
  <c r="J15" i="10" l="1"/>
  <c r="D28" i="10" s="1"/>
  <c r="D26" i="10"/>
  <c r="D25" i="10"/>
  <c r="D2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Maya Ber Lerner</author>
  </authors>
  <commentList>
    <comment ref="B6" authorId="0" shapeId="0" xr:uid="{00000000-0006-0000-0100-000001000000}">
      <text>
        <r>
          <rPr>
            <sz val="9"/>
            <color indexed="81"/>
            <rFont val="Tahoma"/>
            <family val="2"/>
          </rPr>
          <t xml:space="preserve">Lab users may include manual testers, support engineers, POC engineers, trainers and or other lab equipment user.
</t>
        </r>
      </text>
    </comment>
    <comment ref="B8" authorId="0" shapeId="0" xr:uid="{00000000-0006-0000-0100-000002000000}">
      <text>
        <r>
          <rPr>
            <sz val="9"/>
            <color indexed="81"/>
            <rFont val="Tahoma"/>
            <family val="2"/>
          </rPr>
          <t xml:space="preserve">This is a average "blended" annual cost of  test engineer 
Please note: include here the fully-loaded cost of employees and not only their base salary. As a rule of thumb, to get the fully-loaded cost you should add about 30% to the base salary.
</t>
        </r>
      </text>
    </comment>
    <comment ref="B9" authorId="0" shapeId="0" xr:uid="{00000000-0006-0000-0100-000003000000}">
      <text>
        <r>
          <rPr>
            <sz val="9"/>
            <color indexed="81"/>
            <rFont val="Tahoma"/>
            <family val="2"/>
          </rPr>
          <t xml:space="preserve">The estimated cost of 1 hour of a manager (e.g. lab manager, QA/PS manager).
Again, this can be estimated by adding 30% to the annual base salary.
</t>
        </r>
      </text>
    </comment>
    <comment ref="B15" authorId="0" shapeId="0" xr:uid="{00000000-0006-0000-0100-000004000000}">
      <text>
        <r>
          <rPr>
            <sz val="9"/>
            <color indexed="81"/>
            <rFont val="Tahoma"/>
            <family val="2"/>
          </rPr>
          <t>The average time, in hours, that each lab user spends on searching for available devices and test equipment each week.</t>
        </r>
      </text>
    </comment>
    <comment ref="B16" authorId="0" shapeId="0" xr:uid="{00000000-0006-0000-0100-000005000000}">
      <text>
        <r>
          <rPr>
            <sz val="9"/>
            <color indexed="81"/>
            <rFont val="Tahoma"/>
            <family val="2"/>
          </rPr>
          <t xml:space="preserve">The average time, in hours, that each lab user spends on resolving conflicts each week. This should also include the delay while waiting for conflict to be resolved. In case an administrator is involved in the process, the administrator time to resolve the conflict should be added as well. </t>
        </r>
      </text>
    </comment>
    <comment ref="B19" authorId="0" shapeId="0" xr:uid="{00000000-0006-0000-0100-000006000000}">
      <text>
        <r>
          <rPr>
            <sz val="9"/>
            <color indexed="81"/>
            <rFont val="Tahoma"/>
            <family val="2"/>
          </rPr>
          <t>The average time each lab user spends on producing reports related to lab equipment and utilization.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bob-e</author>
    <author>Maya Ber Lerner</author>
  </authors>
  <commentList>
    <comment ref="B6" authorId="0" shapeId="0" xr:uid="{00000000-0006-0000-0200-000001000000}">
      <text>
        <r>
          <rPr>
            <sz val="9"/>
            <color indexed="81"/>
            <rFont val="Tahoma"/>
            <family val="2"/>
          </rPr>
          <t>Total current value (after depreciation) of equipment that is being tested in the lab.  This includes devices or systems under test or the entire network for network testing.</t>
        </r>
      </text>
    </comment>
    <comment ref="B7" authorId="0" shapeId="0" xr:uid="{00000000-0006-0000-0200-000002000000}">
      <text>
        <r>
          <rPr>
            <sz val="9"/>
            <color indexed="81"/>
            <rFont val="Tahoma"/>
            <family val="2"/>
          </rPr>
          <t xml:space="preserve">Total current value (after depreciation) of all test equipment in lab.  This includes traffic generators, network monitors, instrumentation, patch panels, etc.
</t>
        </r>
      </text>
    </comment>
    <comment ref="B10" authorId="0" shapeId="0" xr:uid="{00000000-0006-0000-0200-000003000000}">
      <text>
        <r>
          <rPr>
            <sz val="9"/>
            <color indexed="81"/>
            <rFont val="Tahoma"/>
            <family val="2"/>
          </rPr>
          <t xml:space="preserve">Calculator uses straight line depreciation method to determine annual value of capital equipment.  Depreciation period represents useful lifetime of equipment.
For technology equipment, a depreciation period of 3-5 years is typical. </t>
        </r>
      </text>
    </comment>
    <comment ref="B11" authorId="0" shapeId="0" xr:uid="{00000000-0006-0000-0200-000004000000}">
      <text>
        <r>
          <rPr>
            <sz val="9"/>
            <color indexed="81"/>
            <rFont val="Tahoma"/>
            <family val="2"/>
          </rPr>
          <t xml:space="preserve">Amount of annual maintenance contracts paid to network equipment and test equipment vendors.
</t>
        </r>
      </text>
    </comment>
    <comment ref="B13" authorId="0" shapeId="0" xr:uid="{00000000-0006-0000-0200-000005000000}">
      <text>
        <r>
          <rPr>
            <sz val="9"/>
            <color indexed="81"/>
            <rFont val="Tahoma"/>
            <family val="2"/>
          </rPr>
          <t xml:space="preserve">Assumes straight line depreciation over useful lifetime of equipment.
</t>
        </r>
      </text>
    </comment>
    <comment ref="B14" authorId="0" shapeId="0" xr:uid="{00000000-0006-0000-0200-000006000000}">
      <text>
        <r>
          <rPr>
            <sz val="9"/>
            <color indexed="81"/>
            <rFont val="Tahoma"/>
            <family val="2"/>
          </rPr>
          <t xml:space="preserve">Adds depreciated value and annual maintenance.
</t>
        </r>
      </text>
    </comment>
    <comment ref="B18" authorId="0" shapeId="0" xr:uid="{00000000-0006-0000-0200-000007000000}">
      <text>
        <r>
          <rPr>
            <sz val="9"/>
            <color indexed="81"/>
            <rFont val="Tahoma"/>
            <family val="2"/>
          </rPr>
          <t xml:space="preserve">Assumes flat utilization over three year period.  No improvements from adoption of TestShell.
</t>
        </r>
      </text>
    </comment>
    <comment ref="B21" authorId="1" shapeId="0" xr:uid="{00000000-0006-0000-0200-000008000000}">
      <text>
        <r>
          <rPr>
            <sz val="9"/>
            <color indexed="81"/>
            <rFont val="Tahoma"/>
            <family val="2"/>
          </rPr>
          <t>Increased utilization enabled by:
* Increased ability to share through visibility and self-service capabilities 
* Eliminate rigid shifts – enable shorter reservation periods 
* Allow users to return resources into shared pool when they are finished
* Increase overall test throughput 
* Increase sharing of  equipment  across multiple groups / zones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Maya Ber Lerner</author>
  </authors>
  <commentList>
    <comment ref="B11" authorId="0" shapeId="0" xr:uid="{00000000-0006-0000-0300-000001000000}">
      <text>
        <r>
          <rPr>
            <sz val="9"/>
            <color indexed="81"/>
            <rFont val="Tahoma"/>
            <family val="2"/>
          </rPr>
          <t>The percentage of lab equipment that can be connected to a remotely controlled power distribution unit, to be controlled using TestShell.</t>
        </r>
      </text>
    </comment>
    <comment ref="B12" authorId="0" shapeId="0" xr:uid="{00000000-0006-0000-0300-000002000000}">
      <text>
        <r>
          <rPr>
            <sz val="9"/>
            <color indexed="81"/>
            <rFont val="Tahoma"/>
            <family val="2"/>
          </rPr>
          <t>Estimation of the percentage of time that the equipment connected to a PDU can be powered off (not in use).
This typically includes nights, weekends, holiday shutdown periods.</t>
        </r>
      </text>
    </comment>
    <comment ref="B14" authorId="0" shapeId="0" xr:uid="{00000000-0006-0000-0300-000003000000}">
      <text>
        <r>
          <rPr>
            <sz val="9"/>
            <color indexed="81"/>
            <rFont val="Tahoma"/>
            <family val="2"/>
          </rPr>
          <t>Estimated percentage of lab equipment that is located in the lab (powered, takes space in a rack, maintenance paid) but is actually not in use.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bob-e</author>
    <author>Maya Ber Lerner</author>
  </authors>
  <commentList>
    <comment ref="B33" authorId="0" shapeId="0" xr:uid="{00000000-0006-0000-0400-000001000000}">
      <text>
        <r>
          <rPr>
            <sz val="9"/>
            <color indexed="81"/>
            <rFont val="Tahoma"/>
            <family val="2"/>
          </rPr>
          <t>Total revenue that is expected for this product or service.</t>
        </r>
      </text>
    </comment>
    <comment ref="B34" authorId="1" shapeId="0" xr:uid="{00000000-0006-0000-0400-000002000000}">
      <text>
        <r>
          <rPr>
            <sz val="9"/>
            <color indexed="81"/>
            <rFont val="Tahoma"/>
            <family val="2"/>
          </rPr>
          <t xml:space="preserve">Total time that product or service will be available to customers and generating revenue.
Specify in months.  "2w" in the graph above.
</t>
        </r>
      </text>
    </comment>
    <comment ref="B35" authorId="1" shapeId="0" xr:uid="{00000000-0006-0000-0400-000003000000}">
      <text>
        <r>
          <rPr>
            <sz val="9"/>
            <color indexed="81"/>
            <rFont val="Tahoma"/>
            <family val="2"/>
          </rPr>
          <t>Scheduled release of product or service may be delayed for many reasons including quality issues and delayed test schedules.
Specify as number of month.  "d" in the graph above.</t>
        </r>
      </text>
    </comment>
    <comment ref="B37" authorId="1" shapeId="0" xr:uid="{00000000-0006-0000-0400-000004000000}">
      <text>
        <r>
          <rPr>
            <sz val="9"/>
            <color indexed="81"/>
            <rFont val="Tahoma"/>
            <family val="2"/>
          </rPr>
          <t>Shaded area under curve in graph above.</t>
        </r>
      </text>
    </comment>
    <comment ref="B39" authorId="0" shapeId="0" xr:uid="{00000000-0006-0000-0400-000005000000}">
      <text>
        <r>
          <rPr>
            <sz val="9"/>
            <color indexed="81"/>
            <rFont val="Tahoma"/>
            <family val="2"/>
          </rPr>
          <t>Delayed market entry can be caused by many factors including:
  - Over-aggressive schedules
  - Changing market requirements
  - Supply chain delays
  - Poor planning
  - Unforeseen technology challenges
  - Manufacturing delays
No matter how good the planning is and how early the testing is started, testing is always one of the final tasks in the project schedule.  Testing cannot be skipped without great risk.  Anything that can be done to improve test schedules will always have a positive impact on the time to market.</t>
        </r>
      </text>
    </comment>
    <comment ref="B40" authorId="0" shapeId="0" xr:uid="{00000000-0006-0000-0400-000006000000}">
      <text>
        <r>
          <rPr>
            <sz val="9"/>
            <color indexed="81"/>
            <rFont val="Tahoma"/>
            <family val="2"/>
          </rPr>
          <t>Automatically calculated earlier on Productivity tab.</t>
        </r>
      </text>
    </comment>
    <comment ref="B41" authorId="0" shapeId="0" xr:uid="{00000000-0006-0000-0400-000007000000}">
      <text>
        <r>
          <rPr>
            <sz val="9"/>
            <color indexed="81"/>
            <rFont val="Tahoma"/>
            <family val="2"/>
          </rPr>
          <t xml:space="preserve">In the context of delayed market entry, TestShell can help shorten testing schedules and shorten the delay to market.
</t>
        </r>
      </text>
    </comment>
    <comment ref="B43" authorId="0" shapeId="0" xr:uid="{00000000-0006-0000-0400-000008000000}">
      <text>
        <r>
          <rPr>
            <sz val="9"/>
            <color indexed="81"/>
            <rFont val="Tahoma"/>
            <family val="2"/>
          </rPr>
          <t>Potential revenue benefits divided by total market window.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bob-e</author>
  </authors>
  <commentList>
    <comment ref="C12" authorId="0" shapeId="0" xr:uid="{00000000-0006-0000-0500-000001000000}">
      <text>
        <r>
          <rPr>
            <sz val="9"/>
            <color indexed="81"/>
            <rFont val="Tahoma"/>
            <charset val="1"/>
          </rPr>
          <t xml:space="preserve">Most network users are highly dependent on network availability to perform their job.
What percentage of there is dependent on the network?
</t>
        </r>
      </text>
    </comment>
    <comment ref="C13" authorId="0" shapeId="0" xr:uid="{00000000-0006-0000-0500-000002000000}">
      <text>
        <r>
          <rPr>
            <sz val="9"/>
            <color indexed="81"/>
            <rFont val="Tahoma"/>
            <family val="2"/>
          </rPr>
          <t>Gartner study published in ZDNet says that large corporations experience an average of 87 hours of unplanned network downtime per year.</t>
        </r>
        <r>
          <rPr>
            <sz val="9"/>
            <color indexed="81"/>
            <rFont val="Tahoma"/>
            <charset val="1"/>
          </rPr>
          <t xml:space="preserve">
</t>
        </r>
      </text>
    </comment>
    <comment ref="C14" authorId="0" shapeId="0" xr:uid="{00000000-0006-0000-0500-000003000000}">
      <text>
        <r>
          <rPr>
            <sz val="9"/>
            <color indexed="81"/>
            <rFont val="Tahoma"/>
            <family val="2"/>
          </rPr>
          <t>The IT Process Institute Visible Ops Handbook reports that 80% of unplanned outagesd are due to ill-planned changes made by adminstrators or developers.
The Enterprise Management Association reports that 60% of availability and performance errors are the result of misconfigurations.</t>
        </r>
        <r>
          <rPr>
            <b/>
            <sz val="9"/>
            <color indexed="81"/>
            <rFont val="Tahoma"/>
            <charset val="1"/>
          </rPr>
          <t xml:space="preserve">
</t>
        </r>
        <r>
          <rPr>
            <sz val="9"/>
            <color indexed="81"/>
            <rFont val="Tahoma"/>
            <charset val="1"/>
          </rPr>
          <t xml:space="preserve">
</t>
        </r>
      </text>
    </comment>
    <comment ref="C15" authorId="0" shapeId="0" xr:uid="{00000000-0006-0000-0500-000004000000}">
      <text>
        <r>
          <rPr>
            <sz val="9"/>
            <color indexed="81"/>
            <rFont val="Tahoma"/>
            <family val="2"/>
          </rPr>
          <t xml:space="preserve">According to report from MANDASOFT, the top 25 technology companies earned an annual profit of between $92,247 and $374,788 per employee in 2010-2011.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bob-e</author>
    <author>Maya Ber Lerner</author>
  </authors>
  <commentList>
    <comment ref="B10" authorId="0" shapeId="0" xr:uid="{00000000-0006-0000-0600-000001000000}">
      <text>
        <r>
          <rPr>
            <sz val="9"/>
            <color indexed="81"/>
            <rFont val="Tahoma"/>
            <family val="2"/>
          </rPr>
          <t xml:space="preserve">Drawing topology diagrams and port connections.  Specifying configurations, device models, etc.
</t>
        </r>
      </text>
    </comment>
    <comment ref="B11" authorId="1" shapeId="0" xr:uid="{00000000-0006-0000-0600-000002000000}">
      <text>
        <r>
          <rPr>
            <sz val="9"/>
            <color indexed="81"/>
            <rFont val="Tahoma"/>
            <family val="2"/>
          </rPr>
          <t>The daily price for using a topology by a supplier/partner.</t>
        </r>
      </text>
    </comment>
    <comment ref="B28" authorId="0" shapeId="0" xr:uid="{00000000-0006-0000-0600-000003000000}">
      <text>
        <r>
          <rPr>
            <sz val="9"/>
            <color indexed="81"/>
            <rFont val="Tahoma"/>
            <family val="2"/>
          </rPr>
          <t xml:space="preserve">Calculated using lab user fullly loaded salary from Productivity tab.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bob-e</author>
  </authors>
  <commentList>
    <comment ref="B13" authorId="0" shapeId="0" xr:uid="{00000000-0006-0000-0700-000001000000}">
      <text>
        <r>
          <rPr>
            <sz val="9"/>
            <color indexed="81"/>
            <rFont val="Tahoma"/>
            <family val="2"/>
          </rPr>
          <t xml:space="preserve">Uses fully loaded salary and number of lab users from Productivity tab.
</t>
        </r>
      </text>
    </comment>
    <comment ref="B14" authorId="0" shapeId="0" xr:uid="{00000000-0006-0000-0700-000002000000}">
      <text>
        <r>
          <rPr>
            <sz val="9"/>
            <color indexed="81"/>
            <rFont val="Tahoma"/>
            <family val="2"/>
          </rPr>
          <t xml:space="preserve">Uses fully loaded salary and number of lab adminstrators from Productivity tab.
</t>
        </r>
      </text>
    </comment>
    <comment ref="B15" authorId="0" shapeId="0" xr:uid="{00000000-0006-0000-0700-000003000000}">
      <text>
        <r>
          <rPr>
            <sz val="9"/>
            <color indexed="81"/>
            <rFont val="Tahoma"/>
            <family val="2"/>
          </rPr>
          <t xml:space="preserve">Assumes that all lab adminstrators will spend time creating infrastructure which includes importing all lab equipment, connectivity and lab users.
</t>
        </r>
      </text>
    </comment>
    <comment ref="B16" authorId="0" shapeId="0" xr:uid="{00000000-0006-0000-0700-000004000000}">
      <text>
        <r>
          <rPr>
            <sz val="9"/>
            <color indexed="81"/>
            <rFont val="Tahoma"/>
            <family val="2"/>
          </rPr>
          <t xml:space="preserve">Each lab adminstrator will spend time developing procedures.
</t>
        </r>
      </text>
    </comment>
    <comment ref="B17" authorId="0" shapeId="0" xr:uid="{00000000-0006-0000-0700-000005000000}">
      <text>
        <r>
          <rPr>
            <sz val="9"/>
            <color indexed="81"/>
            <rFont val="Tahoma"/>
            <family val="2"/>
          </rPr>
          <t xml:space="preserve">Hours per week that adminstrators will spend with TestShell adminstrative tasks.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Gad Cohen</author>
  </authors>
  <commentList>
    <comment ref="B25" authorId="0" shapeId="0" xr:uid="{00000000-0006-0000-0800-000001000000}">
      <text>
        <r>
          <rPr>
            <sz val="8"/>
            <color indexed="81"/>
            <rFont val="Tahoma"/>
            <family val="2"/>
          </rPr>
          <t>The average annual return expected over a 3-year period based on your investment.</t>
        </r>
      </text>
    </comment>
    <comment ref="B26" authorId="0" shapeId="0" xr:uid="{00000000-0006-0000-0800-000002000000}">
      <text>
        <r>
          <rPr>
            <sz val="8"/>
            <color indexed="81"/>
            <rFont val="Tahoma"/>
            <family val="2"/>
          </rPr>
          <t xml:space="preserve">The payback period is defined as the length of time required to recover an initial investment through cash flows generated from the investment. </t>
        </r>
      </text>
    </comment>
    <comment ref="B27" authorId="0" shapeId="0" xr:uid="{00000000-0006-0000-0800-000003000000}">
      <text>
        <r>
          <rPr>
            <sz val="8"/>
            <color indexed="81"/>
            <rFont val="Tahoma"/>
            <family val="2"/>
          </rPr>
          <t>The total expected net benefits during the first 3 years.</t>
        </r>
      </text>
    </comment>
    <comment ref="B28" authorId="0" shapeId="0" xr:uid="{00000000-0006-0000-0800-000004000000}">
      <text>
        <r>
          <rPr>
            <sz val="8"/>
            <color indexed="81"/>
            <rFont val="Tahoma"/>
            <family val="2"/>
          </rPr>
          <t>The cumulative ROI is defined as the project's net benefits over 3 years divided by the initial cost</t>
        </r>
      </text>
    </comment>
  </commentList>
</comments>
</file>

<file path=xl/sharedStrings.xml><?xml version="1.0" encoding="utf-8"?>
<sst xmlns="http://schemas.openxmlformats.org/spreadsheetml/2006/main" count="348" uniqueCount="285">
  <si>
    <t>Lab user productivity ($ per year)</t>
  </si>
  <si>
    <t>Total</t>
  </si>
  <si>
    <t>Time to produce lab reports (hr)</t>
  </si>
  <si>
    <t>% of time this equipment  can be powered off  (e.g. nights and  weekends)</t>
  </si>
  <si>
    <t>Average annual fully loaded cost of a lab user</t>
  </si>
  <si>
    <t>PDU (power off equipment which is not in use)</t>
  </si>
  <si>
    <t>Time to debug and fix incorrect setup (hr)</t>
  </si>
  <si>
    <t xml:space="preserve">Training </t>
  </si>
  <si>
    <t>Professional Services</t>
  </si>
  <si>
    <t>Today</t>
  </si>
  <si>
    <t>Results</t>
  </si>
  <si>
    <t>Benefits</t>
  </si>
  <si>
    <t>Year 1</t>
  </si>
  <si>
    <t>Year 2</t>
  </si>
  <si>
    <t>Total Benefits</t>
  </si>
  <si>
    <t>Software licenses</t>
  </si>
  <si>
    <t>Costs</t>
  </si>
  <si>
    <t>Summary</t>
  </si>
  <si>
    <t>Annual return on investment (ROI)</t>
  </si>
  <si>
    <t>Total 3-year net benefits</t>
  </si>
  <si>
    <t>Cumulative ROI (cROI)</t>
  </si>
  <si>
    <t>Year 3</t>
  </si>
  <si>
    <t>Estimated % of  equipment which is not in use</t>
  </si>
  <si>
    <t xml:space="preserve"> </t>
  </si>
  <si>
    <r>
      <t>·</t>
    </r>
    <r>
      <rPr>
        <sz val="7"/>
        <color theme="1"/>
        <rFont val="Times New Roman"/>
        <family val="1"/>
      </rPr>
      <t xml:space="preserve">         </t>
    </r>
    <r>
      <rPr>
        <sz val="11"/>
        <color theme="1"/>
        <rFont val="Calibri"/>
        <family val="2"/>
        <scheme val="minor"/>
      </rPr>
      <t xml:space="preserve">Reduced test setup time </t>
    </r>
  </si>
  <si>
    <r>
      <t>·</t>
    </r>
    <r>
      <rPr>
        <sz val="7"/>
        <color theme="1"/>
        <rFont val="Times New Roman"/>
        <family val="1"/>
      </rPr>
      <t xml:space="preserve">         </t>
    </r>
    <r>
      <rPr>
        <sz val="11"/>
        <color theme="1"/>
        <rFont val="Calibri"/>
        <family val="2"/>
        <scheme val="minor"/>
      </rPr>
      <t>Reduced resource conflicts</t>
    </r>
  </si>
  <si>
    <r>
      <t>·</t>
    </r>
    <r>
      <rPr>
        <sz val="7"/>
        <color theme="1"/>
        <rFont val="Times New Roman"/>
        <family val="1"/>
      </rPr>
      <t xml:space="preserve">         </t>
    </r>
    <r>
      <rPr>
        <sz val="11"/>
        <color theme="1"/>
        <rFont val="Calibri"/>
        <family val="2"/>
        <scheme val="minor"/>
      </rPr>
      <t>Reduced time spent and errors tracking inventory manually</t>
    </r>
  </si>
  <si>
    <r>
      <t>·</t>
    </r>
    <r>
      <rPr>
        <sz val="7"/>
        <color theme="1"/>
        <rFont val="Times New Roman"/>
        <family val="1"/>
      </rPr>
      <t xml:space="preserve">         </t>
    </r>
    <r>
      <rPr>
        <sz val="11"/>
        <color theme="1"/>
        <rFont val="Calibri"/>
        <family val="2"/>
        <scheme val="minor"/>
      </rPr>
      <t xml:space="preserve">Increased ability to share through visibility and self-service capabilities </t>
    </r>
  </si>
  <si>
    <r>
      <t>·</t>
    </r>
    <r>
      <rPr>
        <sz val="7"/>
        <color theme="1"/>
        <rFont val="Times New Roman"/>
        <family val="1"/>
      </rPr>
      <t xml:space="preserve">         </t>
    </r>
    <r>
      <rPr>
        <sz val="11"/>
        <color theme="1"/>
        <rFont val="Calibri"/>
        <family val="2"/>
        <scheme val="minor"/>
      </rPr>
      <t xml:space="preserve">Eliminate rigid shifts – enable shorter reservation periods </t>
    </r>
  </si>
  <si>
    <r>
      <t>·</t>
    </r>
    <r>
      <rPr>
        <sz val="7"/>
        <color theme="1"/>
        <rFont val="Times New Roman"/>
        <family val="1"/>
      </rPr>
      <t xml:space="preserve">         </t>
    </r>
    <r>
      <rPr>
        <sz val="11"/>
        <color theme="1"/>
        <rFont val="Calibri"/>
        <family val="2"/>
        <scheme val="minor"/>
      </rPr>
      <t xml:space="preserve">Allow users to return resources into shared pool when they are finished </t>
    </r>
  </si>
  <si>
    <r>
      <t>·</t>
    </r>
    <r>
      <rPr>
        <sz val="7"/>
        <color theme="1"/>
        <rFont val="Times New Roman"/>
        <family val="1"/>
      </rPr>
      <t xml:space="preserve">         </t>
    </r>
    <r>
      <rPr>
        <sz val="11"/>
        <color theme="1"/>
        <rFont val="Calibri"/>
        <family val="2"/>
        <scheme val="minor"/>
      </rPr>
      <t>Increase overall test throughput</t>
    </r>
  </si>
  <si>
    <r>
      <t>·</t>
    </r>
    <r>
      <rPr>
        <sz val="7"/>
        <color theme="1"/>
        <rFont val="Times New Roman"/>
        <family val="1"/>
      </rPr>
      <t xml:space="preserve">         </t>
    </r>
    <r>
      <rPr>
        <sz val="11"/>
        <color theme="1"/>
        <rFont val="Calibri"/>
        <family val="2"/>
        <scheme val="minor"/>
      </rPr>
      <t xml:space="preserve">Power down devices when not in use – lower electricity costs </t>
    </r>
  </si>
  <si>
    <r>
      <t>·</t>
    </r>
    <r>
      <rPr>
        <sz val="7"/>
        <color theme="1"/>
        <rFont val="Times New Roman"/>
        <family val="1"/>
      </rPr>
      <t xml:space="preserve">         </t>
    </r>
    <r>
      <rPr>
        <sz val="11"/>
        <color theme="1"/>
        <rFont val="Calibri"/>
        <family val="2"/>
        <scheme val="minor"/>
      </rPr>
      <t xml:space="preserve">Reduced need for air conditioning - lower utility costs </t>
    </r>
  </si>
  <si>
    <t>Time to Market</t>
  </si>
  <si>
    <t>Total Expected Revenue</t>
  </si>
  <si>
    <t>Lost revenue due to delayed entry</t>
  </si>
  <si>
    <t>Number of network users</t>
  </si>
  <si>
    <t>Network users dependence on network</t>
  </si>
  <si>
    <t>Fully loaded  (salary, benefits, overhead) annual cost of network user</t>
  </si>
  <si>
    <t>Hours of unplanned network downtime per year</t>
  </si>
  <si>
    <t>Percentage of network downtime that can be prevented by testing</t>
  </si>
  <si>
    <t>Annual profit generated by network user</t>
  </si>
  <si>
    <t>Annual profit loss due to network downtime</t>
  </si>
  <si>
    <t>Annual productivity cost due network downtime</t>
  </si>
  <si>
    <t>Total annual cost of network downtime</t>
  </si>
  <si>
    <t>Cost of Network Downtime</t>
  </si>
  <si>
    <t>Annual costs that can be prevented by testing</t>
  </si>
  <si>
    <t>Return on Investment Calculator</t>
  </si>
  <si>
    <t>Productivity</t>
  </si>
  <si>
    <t>Number of lab users</t>
  </si>
  <si>
    <t>Average annual fully loaded cost for management</t>
  </si>
  <si>
    <t xml:space="preserve">Instructions </t>
  </si>
  <si>
    <t>Utilization</t>
  </si>
  <si>
    <t>Operational Expenses</t>
  </si>
  <si>
    <t>Network Down time</t>
  </si>
  <si>
    <r>
      <t>·</t>
    </r>
    <r>
      <rPr>
        <sz val="7"/>
        <color theme="1"/>
        <rFont val="Times New Roman"/>
        <family val="1"/>
      </rPr>
      <t xml:space="preserve">         </t>
    </r>
    <r>
      <rPr>
        <sz val="11"/>
        <color theme="1"/>
        <rFont val="Calibri"/>
        <family val="2"/>
        <scheme val="minor"/>
      </rPr>
      <t>Lost revenue for delivering a product or service late to market</t>
    </r>
  </si>
  <si>
    <r>
      <t>·</t>
    </r>
    <r>
      <rPr>
        <sz val="7"/>
        <color theme="1"/>
        <rFont val="Times New Roman"/>
        <family val="1"/>
      </rPr>
      <t xml:space="preserve">         </t>
    </r>
    <r>
      <rPr>
        <sz val="11"/>
        <color theme="1"/>
        <rFont val="Calibri"/>
        <family val="2"/>
        <scheme val="minor"/>
      </rPr>
      <t>Lost profits from users unable to access network</t>
    </r>
  </si>
  <si>
    <t>Business Collaboration</t>
  </si>
  <si>
    <r>
      <t>·</t>
    </r>
    <r>
      <rPr>
        <sz val="7"/>
        <color theme="1"/>
        <rFont val="Times New Roman"/>
        <family val="1"/>
      </rPr>
      <t xml:space="preserve">         </t>
    </r>
    <r>
      <rPr>
        <sz val="11"/>
        <color theme="1"/>
        <rFont val="Calibri"/>
        <family val="2"/>
        <scheme val="minor"/>
      </rPr>
      <t>Cost of failure in the market</t>
    </r>
  </si>
  <si>
    <r>
      <t>·</t>
    </r>
    <r>
      <rPr>
        <sz val="7"/>
        <color theme="1"/>
        <rFont val="Times New Roman"/>
        <family val="1"/>
      </rPr>
      <t>        </t>
    </r>
    <r>
      <rPr>
        <sz val="11"/>
        <color theme="1"/>
        <rFont val="Calibri"/>
        <family val="2"/>
        <scheme val="minor"/>
      </rPr>
      <t>Improved communication with business partners</t>
    </r>
  </si>
  <si>
    <r>
      <t>·</t>
    </r>
    <r>
      <rPr>
        <sz val="7"/>
        <color theme="1"/>
        <rFont val="Times New Roman"/>
        <family val="1"/>
      </rPr>
      <t xml:space="preserve">         </t>
    </r>
    <r>
      <rPr>
        <sz val="11"/>
        <color theme="1"/>
        <rFont val="Calibri"/>
        <family val="2"/>
        <scheme val="minor"/>
      </rPr>
      <t>Reduced iterations and faster resolution</t>
    </r>
  </si>
  <si>
    <r>
      <t>·</t>
    </r>
    <r>
      <rPr>
        <sz val="7"/>
        <color theme="1"/>
        <rFont val="Times New Roman"/>
        <family val="1"/>
      </rPr>
      <t>        </t>
    </r>
    <r>
      <rPr>
        <sz val="11"/>
        <color theme="1"/>
        <rFont val="Calibri"/>
        <family val="2"/>
        <scheme val="minor"/>
      </rPr>
      <t>Improved customer satisfaction and retention</t>
    </r>
  </si>
  <si>
    <r>
      <t>·</t>
    </r>
    <r>
      <rPr>
        <sz val="7"/>
        <color theme="1"/>
        <rFont val="Times New Roman"/>
        <family val="1"/>
      </rPr>
      <t xml:space="preserve">         </t>
    </r>
    <r>
      <rPr>
        <sz val="11"/>
        <color theme="1"/>
        <rFont val="Calibri"/>
        <family val="2"/>
        <scheme val="minor"/>
      </rPr>
      <t>Reduced support and maintenance costs on lab equipment</t>
    </r>
  </si>
  <si>
    <r>
      <t>·</t>
    </r>
    <r>
      <rPr>
        <sz val="7"/>
        <color theme="1"/>
        <rFont val="Times New Roman"/>
        <family val="1"/>
      </rPr>
      <t xml:space="preserve">         </t>
    </r>
    <r>
      <rPr>
        <sz val="11"/>
        <color theme="1"/>
        <rFont val="Calibri"/>
        <family val="2"/>
        <scheme val="minor"/>
      </rPr>
      <t xml:space="preserve">Manage lab growth, increase visibility into usage and bottlenecks </t>
    </r>
  </si>
  <si>
    <t>Return on Investment Benefit Categories</t>
  </si>
  <si>
    <t>The Investment tab is used to calculate the total cost of the investment including software, maintenance, training and deployment</t>
  </si>
  <si>
    <r>
      <t>·</t>
    </r>
    <r>
      <rPr>
        <sz val="7"/>
        <color theme="1"/>
        <rFont val="Times New Roman"/>
        <family val="1"/>
      </rPr>
      <t xml:space="preserve">         </t>
    </r>
    <r>
      <rPr>
        <sz val="11"/>
        <color theme="1"/>
        <rFont val="Calibri"/>
        <family val="2"/>
        <scheme val="minor"/>
      </rPr>
      <t xml:space="preserve">Reduced time searching for available resources </t>
    </r>
  </si>
  <si>
    <r>
      <t>·</t>
    </r>
    <r>
      <rPr>
        <sz val="7"/>
        <color theme="1"/>
        <rFont val="Times New Roman"/>
        <family val="1"/>
      </rPr>
      <t xml:space="preserve">         </t>
    </r>
    <r>
      <rPr>
        <sz val="11"/>
        <color theme="1"/>
        <rFont val="Calibri"/>
        <family val="2"/>
        <scheme val="minor"/>
      </rPr>
      <t xml:space="preserve">Reduced delays due to waiting or resolving conflicts </t>
    </r>
  </si>
  <si>
    <r>
      <t>·</t>
    </r>
    <r>
      <rPr>
        <sz val="7"/>
        <color theme="1"/>
        <rFont val="Times New Roman"/>
        <family val="1"/>
      </rPr>
      <t xml:space="preserve">         </t>
    </r>
    <r>
      <rPr>
        <sz val="11"/>
        <color theme="1"/>
        <rFont val="Calibri"/>
        <family val="2"/>
        <scheme val="minor"/>
      </rPr>
      <t xml:space="preserve">Reduced debug time and repeat testing caused by device conflicts </t>
    </r>
  </si>
  <si>
    <r>
      <t>·</t>
    </r>
    <r>
      <rPr>
        <sz val="7"/>
        <color theme="1"/>
        <rFont val="Times New Roman"/>
        <family val="1"/>
      </rPr>
      <t xml:space="preserve">         </t>
    </r>
    <r>
      <rPr>
        <sz val="11"/>
        <color theme="1"/>
        <rFont val="Calibri"/>
        <family val="2"/>
        <scheme val="minor"/>
      </rPr>
      <t>Improve ability to substitute alternate resources</t>
    </r>
  </si>
  <si>
    <r>
      <t>·</t>
    </r>
    <r>
      <rPr>
        <sz val="7"/>
        <color theme="1"/>
        <rFont val="Times New Roman"/>
        <family val="1"/>
      </rPr>
      <t xml:space="preserve">         </t>
    </r>
    <r>
      <rPr>
        <sz val="11"/>
        <color theme="1"/>
        <rFont val="Calibri"/>
        <family val="2"/>
        <scheme val="minor"/>
      </rPr>
      <t>Remove unused equipment from lab - increase available rack space</t>
    </r>
  </si>
  <si>
    <r>
      <t>·</t>
    </r>
    <r>
      <rPr>
        <sz val="7"/>
        <color theme="1"/>
        <rFont val="Times New Roman"/>
        <family val="1"/>
      </rPr>
      <t xml:space="preserve">         </t>
    </r>
    <r>
      <rPr>
        <sz val="11"/>
        <color theme="1"/>
        <rFont val="Calibri"/>
        <family val="2"/>
        <scheme val="minor"/>
      </rPr>
      <t>Provide ability to consolodate and reduce overall lab area</t>
    </r>
  </si>
  <si>
    <t>Productivity Benefits</t>
  </si>
  <si>
    <t>INCLUDE</t>
  </si>
  <si>
    <t>Lab user productivity (average hours for one user in one week)</t>
  </si>
  <si>
    <t>Management productivity (average hours for one manager in one week)</t>
  </si>
  <si>
    <t>Time  to gather and track accurate lab inventory</t>
  </si>
  <si>
    <t>Time  to gather and analyze equipment utilization information</t>
  </si>
  <si>
    <t>Time to analyze usage and plan lab growth and purchasing decisions</t>
  </si>
  <si>
    <t>Topology creation time  (hr)</t>
  </si>
  <si>
    <t>Time searching for available resources (hr)</t>
  </si>
  <si>
    <t>Productivity Improvement Areas</t>
  </si>
  <si>
    <t>Number of lab managers</t>
  </si>
  <si>
    <t>Savings</t>
  </si>
  <si>
    <t>Lab user tasks ($ per year)</t>
  </si>
  <si>
    <t>Management  tasks ($ per year)</t>
  </si>
  <si>
    <t>Totals per year</t>
  </si>
  <si>
    <t>Annual Benefits</t>
  </si>
  <si>
    <t>Time to resolve conflicts (hr)</t>
  </si>
  <si>
    <t>Time to provision all devices in a a topology (hr)</t>
  </si>
  <si>
    <t>Time to reproduce a previously created topology with provisioning (hr)</t>
  </si>
  <si>
    <t>Total hours per week</t>
  </si>
  <si>
    <t>Total hours per year</t>
  </si>
  <si>
    <t>Lab User and Management Data</t>
  </si>
  <si>
    <t>Utilization Benefits</t>
  </si>
  <si>
    <t>Lab Asset Data</t>
  </si>
  <si>
    <t>Annual product and support maintenance</t>
  </si>
  <si>
    <t>Equipment utilization rate today</t>
  </si>
  <si>
    <t>Projected annual lab growth rate of lab assets</t>
  </si>
  <si>
    <t>Improved Utilization</t>
  </si>
  <si>
    <t>Total capital equipment</t>
  </si>
  <si>
    <t>Depreciation period (years, 3-5 is typical)</t>
  </si>
  <si>
    <t>Annual depreciation value</t>
  </si>
  <si>
    <t>Value of Improved Utilization</t>
  </si>
  <si>
    <t>Total value of equipment in lab</t>
  </si>
  <si>
    <t>Total value of test equipment in lab</t>
  </si>
  <si>
    <t>Total annual value of capital equipment</t>
  </si>
  <si>
    <t>Annual cost of underutilized assets</t>
  </si>
  <si>
    <t>Improved Operational Expenses</t>
  </si>
  <si>
    <t>% of  equipment which is connected to PDU</t>
  </si>
  <si>
    <t>Lab average monthly utility costs including electricity and cooling</t>
  </si>
  <si>
    <t>Lab Operational Data</t>
  </si>
  <si>
    <t>Unused equipment (normal underutilization during the work hours)</t>
  </si>
  <si>
    <t>Total annual costs</t>
  </si>
  <si>
    <t>Utility and power information</t>
  </si>
  <si>
    <t>Benefits of reduced operational expenses</t>
  </si>
  <si>
    <t>Monthy reduced utility expenses</t>
  </si>
  <si>
    <t>Annual reduced utility expenses</t>
  </si>
  <si>
    <t>Total Annual Savings</t>
  </si>
  <si>
    <t>Improved Time To Market</t>
  </si>
  <si>
    <t>Total Market Window Time in months</t>
  </si>
  <si>
    <t>Delayed entry to market in months</t>
  </si>
  <si>
    <t>Productivity Increase</t>
  </si>
  <si>
    <t>Percentage of delayed entry time spent in testing</t>
  </si>
  <si>
    <t>Reduced Network Downtime</t>
  </si>
  <si>
    <t>Business Collaboration Data</t>
  </si>
  <si>
    <t>Average number of iterations before sharing of topology is accurately completed</t>
  </si>
  <si>
    <t>Qualitative Benefits</t>
  </si>
  <si>
    <t>Shorter sales and delivery cycles</t>
  </si>
  <si>
    <t>Improved partner/customer retention</t>
  </si>
  <si>
    <t>Improved partner/customer satisfaction</t>
  </si>
  <si>
    <t>Reduced partner/customer downtime</t>
  </si>
  <si>
    <t>Diiferentiation from competitors</t>
  </si>
  <si>
    <t>Number of topologies that are shared with external business partners per year</t>
  </si>
  <si>
    <t>Average time spent preparing topology to send to partner (hours)</t>
  </si>
  <si>
    <t>Average time spent recreating topology received from partner (hours)</t>
  </si>
  <si>
    <t>Shorter overall transaction time</t>
  </si>
  <si>
    <t>Total time spent on iteration (hours)</t>
  </si>
  <si>
    <t>Total time spent on iteration in a year</t>
  </si>
  <si>
    <t>Improvement</t>
  </si>
  <si>
    <t>Direct Cost Benefits</t>
  </si>
  <si>
    <t>Annual</t>
  </si>
  <si>
    <t>Costs to Vendor for Software, Training and Maintenance</t>
  </si>
  <si>
    <t>Training, Deployment and Adminstration Costs</t>
  </si>
  <si>
    <t>Hours</t>
  </si>
  <si>
    <t>Ongoing annual maintenance by lab adminstrators (hours per week)</t>
  </si>
  <si>
    <t>Training  costs for lab administrators (enter hours)</t>
  </si>
  <si>
    <t>Creation of lab management infrastructure by lab adminstrators (total hours)</t>
  </si>
  <si>
    <t>Creation of lab provisioning procedures by lab adminstrators (total hours)</t>
  </si>
  <si>
    <t>Total Vendor Costs</t>
  </si>
  <si>
    <t>Total Internal Costs</t>
  </si>
  <si>
    <t>Total Investment Costs</t>
  </si>
  <si>
    <t>Time To Market</t>
  </si>
  <si>
    <t>Network Down Time</t>
  </si>
  <si>
    <t>Collaboration</t>
  </si>
  <si>
    <t>Deployment and Adminstration Costs</t>
  </si>
  <si>
    <t>Software Licenses</t>
  </si>
  <si>
    <t>Setting</t>
  </si>
  <si>
    <t>Total Costs</t>
  </si>
  <si>
    <t>Payback period months</t>
  </si>
  <si>
    <t>Year 1 Benefits</t>
  </si>
  <si>
    <t>The calculator takes into consideration each of the Benefit Categories listed below.</t>
  </si>
  <si>
    <t>To exclude a particular Benefit Category from consideration, select the EXCLUDE option at the top of the Results tab.</t>
  </si>
  <si>
    <t xml:space="preserve">The factors for each Benefit Category below are covered on a separate tab.  Complete the questionaire on the tab for each  </t>
  </si>
  <si>
    <t>Benefit Category that should be included in the ROI calculations.  The cells that require input are shaded in light blue.</t>
  </si>
  <si>
    <t>The Return on Investment will be automatically calculated on the final Results tab located to the far right.</t>
  </si>
  <si>
    <r>
      <t>·</t>
    </r>
    <r>
      <rPr>
        <sz val="7"/>
        <color theme="1"/>
        <rFont val="Times New Roman"/>
        <family val="1"/>
      </rPr>
      <t>        </t>
    </r>
    <r>
      <rPr>
        <sz val="11"/>
        <color theme="1"/>
        <rFont val="Calibri"/>
        <family val="2"/>
        <scheme val="minor"/>
      </rPr>
      <t>Cost of lost productivity of internal network</t>
    </r>
  </si>
  <si>
    <t>Lower operational expenses can be a significant, but secondary benefit of adopting TestShell for Lab Management.</t>
  </si>
  <si>
    <t>is delivering a product, service or network topology to market.</t>
  </si>
  <si>
    <t>is always in the critical path, any improvements in the test schedule directly impact time-to-market.</t>
  </si>
  <si>
    <t>deployment to a broad network.  80% of unplanned network outages are due to ill-planned changes</t>
  </si>
  <si>
    <t>Note 1:  Data from the IT Process Institute Visible Ops Handbook</t>
  </si>
  <si>
    <r>
      <t xml:space="preserve">made by adminstrators or developers. </t>
    </r>
    <r>
      <rPr>
        <vertAlign val="superscript"/>
        <sz val="12"/>
        <color theme="1"/>
        <rFont val="Calibri"/>
        <family val="2"/>
        <scheme val="minor"/>
      </rPr>
      <t>See 1</t>
    </r>
  </si>
  <si>
    <t>customer that performs network infrastructure testing.</t>
  </si>
  <si>
    <t>This section covers the amount of the investment that is required to adopt TestShell.  Your QualiSystems Sales Manager can provide you with the inputs for this section.</t>
  </si>
  <si>
    <t>Completion of this section is required.</t>
  </si>
  <si>
    <t>All potential customers should complete this section.</t>
  </si>
  <si>
    <t>Productivity is one of the primary benefits of adopting TestShell for Lab Management.</t>
  </si>
  <si>
    <r>
      <rPr>
        <b/>
        <i/>
        <sz val="11"/>
        <color rgb="FFFF0000"/>
        <rFont val="Calibri"/>
        <family val="2"/>
        <scheme val="minor"/>
      </rPr>
      <t>Completion of the this section is optional</t>
    </r>
    <r>
      <rPr>
        <sz val="11"/>
        <color rgb="FFFF0000"/>
        <rFont val="Calibri"/>
        <family val="2"/>
        <scheme val="minor"/>
      </rPr>
      <t>,</t>
    </r>
    <r>
      <rPr>
        <sz val="11"/>
        <color theme="1"/>
        <rFont val="Calibri"/>
        <family val="2"/>
        <scheme val="minor"/>
      </rPr>
      <t xml:space="preserve"> but the benefits will represent a significant value for any customer that</t>
    </r>
  </si>
  <si>
    <r>
      <rPr>
        <b/>
        <i/>
        <sz val="11"/>
        <color rgb="FFFF0000"/>
        <rFont val="Calibri"/>
        <family val="2"/>
        <scheme val="minor"/>
      </rPr>
      <t>Completion of this section is optional</t>
    </r>
    <r>
      <rPr>
        <sz val="11"/>
        <color theme="1"/>
        <rFont val="Calibri"/>
        <family val="2"/>
        <scheme val="minor"/>
      </rPr>
      <t>, but will represent a significant benefit for any potential</t>
    </r>
  </si>
  <si>
    <r>
      <rPr>
        <b/>
        <i/>
        <sz val="11"/>
        <color rgb="FFFF0000"/>
        <rFont val="Calibri"/>
        <family val="2"/>
        <scheme val="minor"/>
      </rPr>
      <t xml:space="preserve">Completion of this section is optional </t>
    </r>
    <r>
      <rPr>
        <sz val="11"/>
        <color theme="1"/>
        <rFont val="Calibri"/>
        <family val="2"/>
        <scheme val="minor"/>
      </rPr>
      <t>and only applies to potential customers that can benefit from collaboration with their partners.</t>
    </r>
  </si>
  <si>
    <r>
      <rPr>
        <b/>
        <i/>
        <sz val="11"/>
        <color rgb="FFFF0000"/>
        <rFont val="Calibri"/>
        <family val="2"/>
        <scheme val="minor"/>
      </rPr>
      <t>Completion of this section is optional</t>
    </r>
    <r>
      <rPr>
        <sz val="11"/>
        <color rgb="FFFF0000"/>
        <rFont val="Calibri"/>
        <family val="2"/>
        <scheme val="minor"/>
      </rPr>
      <t>,</t>
    </r>
    <r>
      <rPr>
        <sz val="11"/>
        <color theme="1"/>
        <rFont val="Calibri"/>
        <family val="2"/>
        <scheme val="minor"/>
      </rPr>
      <t xml:space="preserve"> but can provide compelling data for customers with significant operational costs.</t>
    </r>
  </si>
  <si>
    <t>costs.  Work with your TSI Sales Manager to complete this tab.</t>
  </si>
  <si>
    <t>This calculator can be used estimate the return on investment (ROI) when adopting the CloudShell framework for lab management.</t>
  </si>
  <si>
    <t>With CloudShell</t>
  </si>
  <si>
    <t>Increased utilization is one of the primary benefits of adopting CloudShell for Lab Management.</t>
  </si>
  <si>
    <t>Utilization enabled by CloudShell</t>
  </si>
  <si>
    <t>Annual value of improved utilization provided by CloudShell</t>
  </si>
  <si>
    <t>Improved time to market can be a very significant benefit to any customer that adopts CloudShell for lab management.</t>
  </si>
  <si>
    <t>CloudShell is often used to automate testing of a product, service or network architecture before deplpyment.  Since testing</t>
  </si>
  <si>
    <t>Total potential revenue benefits of using CloudShell</t>
  </si>
  <si>
    <t>Annualized benefit of using CloudShell</t>
  </si>
  <si>
    <t>CloudShell is often used to test network infrastructure updates in a test lab environment before full</t>
  </si>
  <si>
    <t>network equipment manufacturers, network service providers and financial institutions.  Companies in these markets often use CloudShell to test their products</t>
  </si>
  <si>
    <t>and services.  If business partners are both using CloudShell and there is a need to share tests and topologies , CloudShell can provide significant benefits.</t>
  </si>
  <si>
    <t>Testing productivy improvements provided by CloudShell</t>
  </si>
  <si>
    <t>Quali provides solutions that are used by the entire network infrastructure business eco-system.  This includes markets such as semiconductors,</t>
  </si>
  <si>
    <t>Average time spent on iteration to properly communicate topology to partner (hours)</t>
  </si>
  <si>
    <t>using $4M annual for Cert Rev divided by 7 test engineers</t>
  </si>
  <si>
    <t>reword to "annual costs that can be prevented by allowing for dynamic on-demand allocation of test systems/equipment"</t>
  </si>
  <si>
    <t>reword to "% of network downtime that can be prevented by having access to systems/equipment on the network, at all times"</t>
  </si>
  <si>
    <t>people on Cert team dedicated to Certification (Rad is about 50%)</t>
  </si>
  <si>
    <t>Improved Business Collaboration -  LaaS model</t>
  </si>
  <si>
    <t xml:space="preserve">Investment Costs for AgileWAREl Adoption </t>
  </si>
  <si>
    <t>Productivity is the primary benefit of adopting TestShell for Test Automation</t>
  </si>
  <si>
    <t>TestShell User Profile</t>
  </si>
  <si>
    <t>Type of User</t>
  </si>
  <si>
    <t>Number of Users</t>
  </si>
  <si>
    <t>Fully Loaded Annual Cost</t>
  </si>
  <si>
    <t>Hourly Rate per User</t>
  </si>
  <si>
    <t>Annual Labor Costs</t>
  </si>
  <si>
    <t>Category 1: Test interns</t>
  </si>
  <si>
    <t>Category 2: Test technicians</t>
  </si>
  <si>
    <t>Category 3: Test engineers</t>
  </si>
  <si>
    <t>Category 4: Automation engineers</t>
  </si>
  <si>
    <t>Category 5: Managers</t>
  </si>
  <si>
    <t>Total per year</t>
  </si>
  <si>
    <t>User productivity (average hours for one user in one week)</t>
  </si>
  <si>
    <t>Today (hours)</t>
  </si>
  <si>
    <t>With TestShell (hours)</t>
  </si>
  <si>
    <t>Reduced Hours</t>
  </si>
  <si>
    <t>Development of new tests  (User Categories 1-4)</t>
  </si>
  <si>
    <t>Test setup and configuration time (User Categories 1-4)</t>
  </si>
  <si>
    <t>Maintenance or adoption of existing tests (User Categories 1-4)</t>
  </si>
  <si>
    <t>Data collection (User Categories 1-4)</t>
  </si>
  <si>
    <t>Report generation (User Categories 1-4)</t>
  </si>
  <si>
    <t>Data analysis, trend reporting (User Categories 3-5)</t>
  </si>
  <si>
    <t>Totals per user</t>
  </si>
  <si>
    <t>Adoption Profile</t>
  </si>
  <si>
    <t>Piecewise Linear Adoption Model</t>
  </si>
  <si>
    <t>% Adoption at End of Phase</t>
  </si>
  <si>
    <t>Duration of Phase (weeks)</t>
  </si>
  <si>
    <t>Start of Phase (week)</t>
  </si>
  <si>
    <t>End of Phase (week)</t>
  </si>
  <si>
    <t>Start of adoption milestone</t>
  </si>
  <si>
    <t>Phase 1: Training and setup infrastructure</t>
  </si>
  <si>
    <t>Phase 2: Initial adoption</t>
  </si>
  <si>
    <t>Phase 3: Expansion from initial adoption to broad deployment</t>
  </si>
  <si>
    <t>Phase 4: Expansion of broad deployment to full deployment</t>
  </si>
  <si>
    <t>Phase 5: First year full deployment</t>
  </si>
  <si>
    <t>Average Weekly Savings</t>
  </si>
  <si>
    <t>Phase 2</t>
  </si>
  <si>
    <t>Phase 3</t>
  </si>
  <si>
    <t>Phase 4</t>
  </si>
  <si>
    <t>Phase 5</t>
  </si>
  <si>
    <t>Total Weekly Savings</t>
  </si>
  <si>
    <t>Total Savings per Phase</t>
  </si>
  <si>
    <t>Number of Weeks</t>
  </si>
  <si>
    <t>Savings per Week</t>
  </si>
  <si>
    <t>Total Savings</t>
  </si>
  <si>
    <t xml:space="preserve">Phase 2: Training and infrastructure creation </t>
  </si>
  <si>
    <t>Phase 3: Initial adoption</t>
  </si>
  <si>
    <t xml:space="preserve">Phase 4: Broad deployment </t>
  </si>
  <si>
    <t>Phase 5: Full deployment</t>
  </si>
  <si>
    <t>Test Productivity</t>
  </si>
  <si>
    <t>Total Test Productivity Savings</t>
  </si>
  <si>
    <t>How improved productivity is measured in this calculator:</t>
  </si>
  <si>
    <r>
      <t>·</t>
    </r>
    <r>
      <rPr>
        <sz val="7"/>
        <color theme="1"/>
        <rFont val="Times New Roman"/>
        <family val="1"/>
      </rPr>
      <t xml:space="preserve">         </t>
    </r>
    <r>
      <rPr>
        <sz val="11"/>
        <color theme="1"/>
        <rFont val="Calibri"/>
        <family val="2"/>
        <scheme val="minor"/>
      </rPr>
      <t>Increased throughput per tester  (parallelization, reduced manual testing, non-working hours)</t>
    </r>
  </si>
  <si>
    <t>Reduced development of new tests</t>
  </si>
  <si>
    <r>
      <t>·</t>
    </r>
    <r>
      <rPr>
        <sz val="7"/>
        <color theme="1"/>
        <rFont val="Times New Roman"/>
        <family val="1"/>
      </rPr>
      <t xml:space="preserve">         </t>
    </r>
    <r>
      <rPr>
        <sz val="11"/>
        <color theme="1"/>
        <rFont val="Calibri"/>
        <family val="2"/>
        <scheme val="minor"/>
      </rPr>
      <t xml:space="preserve">Increased test projects per tester </t>
    </r>
  </si>
  <si>
    <t>Reduced test setup and configuration time</t>
  </si>
  <si>
    <r>
      <t>·</t>
    </r>
    <r>
      <rPr>
        <sz val="7"/>
        <color theme="1"/>
        <rFont val="Times New Roman"/>
        <family val="1"/>
      </rPr>
      <t xml:space="preserve">         </t>
    </r>
    <r>
      <rPr>
        <sz val="11"/>
        <color theme="1"/>
        <rFont val="Calibri"/>
        <family val="2"/>
        <scheme val="minor"/>
      </rPr>
      <t xml:space="preserve">Increased number of DUTs per tester </t>
    </r>
  </si>
  <si>
    <t>Reduced maintenance or adoption of existing tests</t>
  </si>
  <si>
    <r>
      <t>·</t>
    </r>
    <r>
      <rPr>
        <sz val="7"/>
        <color theme="1"/>
        <rFont val="Times New Roman"/>
        <family val="1"/>
      </rPr>
      <t xml:space="preserve">         </t>
    </r>
    <r>
      <rPr>
        <sz val="11"/>
        <color theme="1"/>
        <rFont val="Calibri"/>
        <family val="2"/>
        <scheme val="minor"/>
      </rPr>
      <t>Increased test coverage</t>
    </r>
  </si>
  <si>
    <t>Reduced time performing data collection</t>
  </si>
  <si>
    <r>
      <t>·</t>
    </r>
    <r>
      <rPr>
        <sz val="7"/>
        <color theme="1"/>
        <rFont val="Times New Roman"/>
        <family val="1"/>
      </rPr>
      <t xml:space="preserve">         </t>
    </r>
    <r>
      <rPr>
        <sz val="11"/>
        <color theme="1"/>
        <rFont val="Calibri"/>
        <family val="2"/>
        <scheme val="minor"/>
      </rPr>
      <t>Reduced time to collect data</t>
    </r>
  </si>
  <si>
    <t>Reduced time in individual test report generation</t>
  </si>
  <si>
    <r>
      <t>·</t>
    </r>
    <r>
      <rPr>
        <sz val="7"/>
        <color theme="1"/>
        <rFont val="Times New Roman"/>
        <family val="1"/>
      </rPr>
      <t xml:space="preserve">         </t>
    </r>
    <r>
      <rPr>
        <sz val="11"/>
        <color theme="1"/>
        <rFont val="Calibri"/>
        <family val="2"/>
        <scheme val="minor"/>
      </rPr>
      <t>Reduced time to create test repiorts</t>
    </r>
  </si>
  <si>
    <t>Reduced time performing data analysis and trend reporting</t>
  </si>
  <si>
    <t>Additional metrics that can be considered:</t>
  </si>
  <si>
    <r>
      <rPr>
        <b/>
        <sz val="11"/>
        <color theme="1"/>
        <rFont val="Calibri"/>
        <family val="2"/>
        <scheme val="minor"/>
      </rPr>
      <t>Note:</t>
    </r>
    <r>
      <rPr>
        <sz val="11"/>
        <color theme="1"/>
        <rFont val="Calibri"/>
        <family val="2"/>
        <scheme val="minor"/>
      </rPr>
      <t xml:space="preserve"> many of the benefits below are realizations of the improved productivity described above.</t>
    </r>
  </si>
  <si>
    <t xml:space="preserve">For example, if a tester is 50% more productive, there are options how to use this savings such as </t>
  </si>
  <si>
    <t>do more testing on the same product, test another product or reduce headcount for the project.</t>
  </si>
  <si>
    <r>
      <t>·</t>
    </r>
    <r>
      <rPr>
        <sz val="7"/>
        <color theme="1"/>
        <rFont val="Times New Roman"/>
        <family val="1"/>
      </rPr>
      <t xml:space="preserve">         </t>
    </r>
    <r>
      <rPr>
        <sz val="11"/>
        <color theme="1"/>
        <rFont val="Calibri"/>
        <family val="2"/>
        <scheme val="minor"/>
      </rPr>
      <t>Increased test projects per tester</t>
    </r>
  </si>
  <si>
    <r>
      <t>·</t>
    </r>
    <r>
      <rPr>
        <sz val="7"/>
        <color theme="1"/>
        <rFont val="Times New Roman"/>
        <family val="1"/>
      </rPr>
      <t xml:space="preserve">         </t>
    </r>
    <r>
      <rPr>
        <sz val="11"/>
        <color theme="1"/>
        <rFont val="Calibri"/>
        <family val="2"/>
        <scheme val="minor"/>
      </rPr>
      <t>Reduced headcount per project</t>
    </r>
  </si>
  <si>
    <r>
      <t>·</t>
    </r>
    <r>
      <rPr>
        <sz val="7"/>
        <color theme="1"/>
        <rFont val="Times New Roman"/>
        <family val="1"/>
      </rPr>
      <t xml:space="preserve">         </t>
    </r>
    <r>
      <rPr>
        <sz val="11"/>
        <color theme="1"/>
        <rFont val="Calibri"/>
        <family val="2"/>
        <scheme val="minor"/>
      </rPr>
      <t>Increased quality</t>
    </r>
  </si>
  <si>
    <r>
      <t>·</t>
    </r>
    <r>
      <rPr>
        <sz val="7"/>
        <color theme="1"/>
        <rFont val="Times New Roman"/>
        <family val="1"/>
      </rPr>
      <t xml:space="preserve">         </t>
    </r>
    <r>
      <rPr>
        <sz val="11"/>
        <color theme="1"/>
        <rFont val="Calibri"/>
        <family val="2"/>
        <scheme val="minor"/>
      </rPr>
      <t>Improved team collaboration</t>
    </r>
  </si>
  <si>
    <r>
      <t>·</t>
    </r>
    <r>
      <rPr>
        <sz val="7"/>
        <color theme="1"/>
        <rFont val="Times New Roman"/>
        <family val="1"/>
      </rPr>
      <t xml:space="preserve">         </t>
    </r>
    <r>
      <rPr>
        <sz val="11"/>
        <color theme="1"/>
        <rFont val="Calibri"/>
        <family val="2"/>
        <scheme val="minor"/>
      </rPr>
      <t>Increased resource utilization</t>
    </r>
  </si>
  <si>
    <r>
      <t>·</t>
    </r>
    <r>
      <rPr>
        <sz val="7"/>
        <color theme="1"/>
        <rFont val="Times New Roman"/>
        <family val="1"/>
      </rPr>
      <t xml:space="preserve">         </t>
    </r>
    <r>
      <rPr>
        <sz val="11"/>
        <color theme="1"/>
        <rFont val="Calibri"/>
        <family val="2"/>
        <scheme val="minor"/>
      </rPr>
      <t>Improved data and results sharing</t>
    </r>
  </si>
  <si>
    <r>
      <t>·</t>
    </r>
    <r>
      <rPr>
        <sz val="7"/>
        <color theme="1"/>
        <rFont val="Times New Roman"/>
        <family val="1"/>
      </rPr>
      <t xml:space="preserve">         </t>
    </r>
    <r>
      <rPr>
        <sz val="11"/>
        <color theme="1"/>
        <rFont val="Calibri"/>
        <family val="2"/>
        <scheme val="minor"/>
      </rPr>
      <t>Reduced human error risk</t>
    </r>
  </si>
  <si>
    <r>
      <t>·</t>
    </r>
    <r>
      <rPr>
        <sz val="7"/>
        <color theme="1"/>
        <rFont val="Times New Roman"/>
        <family val="1"/>
      </rPr>
      <t xml:space="preserve">         </t>
    </r>
    <r>
      <rPr>
        <sz val="11"/>
        <color theme="1"/>
        <rFont val="Calibri"/>
        <family val="2"/>
        <scheme val="minor"/>
      </rPr>
      <t>Reduced hiring and training needs</t>
    </r>
  </si>
  <si>
    <r>
      <t>·</t>
    </r>
    <r>
      <rPr>
        <sz val="7"/>
        <color theme="1"/>
        <rFont val="Times New Roman"/>
        <family val="1"/>
      </rPr>
      <t xml:space="preserve">         </t>
    </r>
    <r>
      <rPr>
        <sz val="11"/>
        <color theme="1"/>
        <rFont val="Calibri"/>
        <family val="2"/>
        <scheme val="minor"/>
      </rPr>
      <t>Improved repeatability</t>
    </r>
  </si>
  <si>
    <t>Training  costs for lab and test users (enter hours)</t>
  </si>
  <si>
    <t>Cumulative Benefits over 3 years</t>
  </si>
  <si>
    <t>Test Productivity Improvement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</si>
</sst>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quot;$&quot;#,##0"/>
    <numFmt numFmtId="166" formatCode="&quot;$&quot;#,##0.0"/>
    <numFmt numFmtId="167" formatCode="0.0"/>
    <numFmt numFmtId="168" formatCode="_(&quot;$&quot;* #,##0_);_(&quot;$&quot;* \(#,##0\);_(&quot;$&quot;* &quot;-&quot;??_);_(@_)"/>
    <numFmt numFmtId="169" formatCode="&quot;$&quot;#,##0.00"/>
  </numFmts>
  <fonts count="33" x14ac:knownFonts="1">
    <font>
      <sz val="11"/>
      <color theme="1"/>
      <name val="Calibri"/>
      <family val="2"/>
      <scheme val="minor"/>
    </font>
    <font>
      <b/>
      <sz val="11"/>
      <color theme="1"/>
      <name val="Calibri"/>
      <family val="2"/>
      <scheme val="minor"/>
    </font>
    <font>
      <b/>
      <sz val="11"/>
      <color rgb="FF002060"/>
      <name val="Verdana"/>
      <family val="2"/>
    </font>
    <font>
      <b/>
      <sz val="8"/>
      <color theme="0"/>
      <name val="Verdana"/>
      <family val="2"/>
    </font>
    <font>
      <b/>
      <sz val="8"/>
      <color theme="1" tint="0.249977111117893"/>
      <name val="Verdana"/>
      <family val="2"/>
    </font>
    <font>
      <b/>
      <sz val="8"/>
      <name val="Verdana"/>
      <family val="2"/>
    </font>
    <font>
      <b/>
      <sz val="8"/>
      <color rgb="FF0000FF"/>
      <name val="Verdana"/>
      <family val="2"/>
    </font>
    <font>
      <sz val="8"/>
      <color rgb="FF0000FF"/>
      <name val="Verdana"/>
      <family val="2"/>
    </font>
    <font>
      <sz val="8"/>
      <color indexed="81"/>
      <name val="Tahoma"/>
      <family val="2"/>
    </font>
    <font>
      <sz val="9"/>
      <color indexed="81"/>
      <name val="Tahoma"/>
      <family val="2"/>
    </font>
    <font>
      <b/>
      <sz val="11"/>
      <color rgb="FF0000FF"/>
      <name val="Verdana"/>
      <family val="2"/>
    </font>
    <font>
      <sz val="11"/>
      <color theme="1"/>
      <name val="Symbol"/>
      <family val="1"/>
      <charset val="2"/>
    </font>
    <font>
      <sz val="7"/>
      <color theme="1"/>
      <name val="Times New Roman"/>
      <family val="1"/>
    </font>
    <font>
      <sz val="11"/>
      <color theme="1"/>
      <name val="Calibri"/>
      <family val="2"/>
      <scheme val="minor"/>
    </font>
    <font>
      <sz val="11"/>
      <color rgb="FF3F3F76"/>
      <name val="Calibri"/>
      <family val="2"/>
      <scheme val="minor"/>
    </font>
    <font>
      <b/>
      <sz val="11"/>
      <color theme="0"/>
      <name val="Calibri"/>
      <family val="2"/>
      <scheme val="minor"/>
    </font>
    <font>
      <sz val="9"/>
      <color indexed="81"/>
      <name val="Tahoma"/>
      <charset val="1"/>
    </font>
    <font>
      <b/>
      <sz val="9"/>
      <color indexed="81"/>
      <name val="Tahoma"/>
      <charset val="1"/>
    </font>
    <font>
      <b/>
      <sz val="12"/>
      <color theme="1"/>
      <name val="Calibri"/>
      <family val="2"/>
      <scheme val="minor"/>
    </font>
    <font>
      <b/>
      <sz val="14"/>
      <color theme="1"/>
      <name val="Calibri"/>
      <family val="2"/>
      <scheme val="minor"/>
    </font>
    <font>
      <sz val="12"/>
      <color theme="1"/>
      <name val="Calibri"/>
      <family val="2"/>
      <scheme val="minor"/>
    </font>
    <font>
      <b/>
      <sz val="14"/>
      <color theme="0"/>
      <name val="Calibri"/>
      <family val="2"/>
      <scheme val="minor"/>
    </font>
    <font>
      <b/>
      <sz val="14"/>
      <color rgb="FF002060"/>
      <name val="Calibri"/>
      <family val="2"/>
      <scheme val="minor"/>
    </font>
    <font>
      <b/>
      <sz val="11"/>
      <name val="Calibri"/>
      <family val="2"/>
      <scheme val="minor"/>
    </font>
    <font>
      <sz val="11"/>
      <name val="Calibri"/>
      <family val="2"/>
      <scheme val="minor"/>
    </font>
    <font>
      <b/>
      <sz val="10"/>
      <name val="Verdana"/>
      <family val="2"/>
    </font>
    <font>
      <b/>
      <sz val="10"/>
      <name val="Calibri"/>
      <family val="2"/>
      <scheme val="minor"/>
    </font>
    <font>
      <b/>
      <sz val="16"/>
      <color rgb="FF002060"/>
      <name val="Calibri"/>
      <family val="2"/>
      <scheme val="minor"/>
    </font>
    <font>
      <sz val="11"/>
      <color rgb="FFFF0000"/>
      <name val="Calibri"/>
      <family val="2"/>
      <scheme val="minor"/>
    </font>
    <font>
      <vertAlign val="superscript"/>
      <sz val="12"/>
      <color theme="1"/>
      <name val="Calibri"/>
      <family val="2"/>
      <scheme val="minor"/>
    </font>
    <font>
      <sz val="9"/>
      <color theme="1"/>
      <name val="Calibri"/>
      <family val="2"/>
      <scheme val="minor"/>
    </font>
    <font>
      <b/>
      <i/>
      <sz val="11"/>
      <color rgb="FFFF0000"/>
      <name val="Calibri"/>
      <family val="2"/>
      <scheme val="minor"/>
    </font>
    <font>
      <b/>
      <sz val="12"/>
      <color rgb="FF002060"/>
      <name val="Verdana"/>
      <family val="2"/>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C99"/>
      </patternFill>
    </fill>
    <fill>
      <patternFill patternType="solid">
        <fgColor rgb="FFA5A5A5"/>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s>
  <cellStyleXfs count="5">
    <xf numFmtId="0" fontId="0" fillId="0" borderId="0"/>
    <xf numFmtId="9" fontId="13" fillId="0" borderId="0" applyFont="0" applyFill="0" applyBorder="0" applyAlignment="0" applyProtection="0"/>
    <xf numFmtId="0" fontId="14" fillId="6" borderId="4" applyNumberFormat="0" applyAlignment="0" applyProtection="0"/>
    <xf numFmtId="0" fontId="15" fillId="7" borderId="5" applyNumberFormat="0" applyAlignment="0" applyProtection="0"/>
    <xf numFmtId="164" fontId="13" fillId="0" borderId="0" applyFont="0" applyFill="0" applyBorder="0" applyAlignment="0" applyProtection="0"/>
  </cellStyleXfs>
  <cellXfs count="169">
    <xf numFmtId="0" fontId="0" fillId="0" borderId="0" xfId="0"/>
    <xf numFmtId="0" fontId="0" fillId="0" borderId="0" xfId="0" applyFont="1"/>
    <xf numFmtId="0" fontId="3" fillId="2" borderId="0" xfId="0" applyFont="1" applyFill="1" applyBorder="1" applyProtection="1"/>
    <xf numFmtId="0" fontId="0" fillId="3" borderId="0" xfId="0" applyFont="1" applyFill="1" applyAlignment="1">
      <alignment horizontal="left"/>
    </xf>
    <xf numFmtId="0" fontId="0" fillId="3" borderId="0" xfId="0" applyFont="1" applyFill="1"/>
    <xf numFmtId="0" fontId="2" fillId="3" borderId="0" xfId="0" applyFont="1" applyFill="1" applyBorder="1" applyProtection="1"/>
    <xf numFmtId="0" fontId="0" fillId="3" borderId="0" xfId="0" applyFont="1" applyFill="1" applyAlignment="1">
      <alignment vertical="center"/>
    </xf>
    <xf numFmtId="0" fontId="4" fillId="4" borderId="0" xfId="0" applyFont="1" applyFill="1" applyBorder="1" applyProtection="1"/>
    <xf numFmtId="0" fontId="0" fillId="3" borderId="0" xfId="0" applyFill="1"/>
    <xf numFmtId="0" fontId="11" fillId="3" borderId="0" xfId="0" applyFont="1" applyFill="1" applyAlignment="1">
      <alignment horizontal="left" vertical="center" indent="5"/>
    </xf>
    <xf numFmtId="0" fontId="0" fillId="3" borderId="0" xfId="0" applyFill="1" applyAlignment="1">
      <alignment vertical="center"/>
    </xf>
    <xf numFmtId="0" fontId="0" fillId="3" borderId="0" xfId="0" applyFont="1" applyFill="1" applyAlignment="1">
      <alignment horizontal="left" vertical="top"/>
    </xf>
    <xf numFmtId="3" fontId="0" fillId="3" borderId="0" xfId="0" applyNumberFormat="1" applyFont="1" applyFill="1" applyAlignment="1">
      <alignment horizontal="left" vertical="top"/>
    </xf>
    <xf numFmtId="0" fontId="2" fillId="3" borderId="0"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0" fillId="0" borderId="0" xfId="0" applyFont="1" applyAlignment="1">
      <alignment horizontal="left" vertical="top"/>
    </xf>
    <xf numFmtId="165" fontId="0" fillId="3" borderId="0" xfId="0" applyNumberFormat="1" applyFont="1" applyFill="1" applyBorder="1" applyAlignment="1">
      <alignment horizontal="left" vertical="top"/>
    </xf>
    <xf numFmtId="0" fontId="0" fillId="3" borderId="0" xfId="0" applyFont="1" applyFill="1" applyAlignment="1">
      <alignment horizontal="left" vertical="top" wrapText="1"/>
    </xf>
    <xf numFmtId="0" fontId="4" fillId="4" borderId="0" xfId="0" applyFont="1" applyFill="1" applyBorder="1" applyAlignment="1" applyProtection="1">
      <alignment horizontal="left" vertical="top"/>
    </xf>
    <xf numFmtId="165" fontId="0" fillId="3" borderId="0" xfId="0" applyNumberFormat="1" applyFont="1" applyFill="1" applyAlignment="1">
      <alignment horizontal="left" vertical="top"/>
    </xf>
    <xf numFmtId="0" fontId="0" fillId="0" borderId="0" xfId="0" applyFont="1" applyAlignment="1">
      <alignment horizontal="center"/>
    </xf>
    <xf numFmtId="0" fontId="0" fillId="0" borderId="0" xfId="0" applyAlignment="1">
      <alignment vertical="center"/>
    </xf>
    <xf numFmtId="0" fontId="0" fillId="3" borderId="0" xfId="0" applyFill="1" applyAlignment="1">
      <alignment vertical="center" wrapText="1"/>
    </xf>
    <xf numFmtId="0" fontId="0" fillId="3" borderId="0" xfId="0" applyFont="1" applyFill="1" applyAlignment="1">
      <alignment horizontal="left" vertical="center"/>
    </xf>
    <xf numFmtId="0" fontId="0" fillId="0" borderId="0" xfId="0" applyFont="1" applyAlignment="1">
      <alignment vertical="center"/>
    </xf>
    <xf numFmtId="0" fontId="0" fillId="3" borderId="0" xfId="0" applyFill="1" applyAlignment="1">
      <alignment horizontal="left" vertical="center"/>
    </xf>
    <xf numFmtId="165" fontId="0" fillId="0" borderId="0" xfId="0" applyNumberFormat="1"/>
    <xf numFmtId="0" fontId="18" fillId="3" borderId="0" xfId="0" applyFont="1" applyFill="1" applyAlignment="1">
      <alignment vertical="center"/>
    </xf>
    <xf numFmtId="0" fontId="0" fillId="3" borderId="0" xfId="0" applyFont="1" applyFill="1" applyAlignment="1">
      <alignment horizontal="center" vertical="center"/>
    </xf>
    <xf numFmtId="0" fontId="20" fillId="3" borderId="0" xfId="0" applyFont="1" applyFill="1" applyAlignment="1">
      <alignment horizontal="left" vertical="center"/>
    </xf>
    <xf numFmtId="0" fontId="0" fillId="3" borderId="0" xfId="0" applyFill="1" applyAlignment="1">
      <alignment horizontal="left" vertical="top"/>
    </xf>
    <xf numFmtId="0" fontId="21" fillId="7" borderId="0" xfId="3" applyFont="1" applyBorder="1" applyProtection="1"/>
    <xf numFmtId="0" fontId="18" fillId="3" borderId="0" xfId="0" applyFont="1" applyFill="1" applyAlignment="1">
      <alignment horizontal="left" vertical="top"/>
    </xf>
    <xf numFmtId="0" fontId="1" fillId="0" borderId="0" xfId="0" applyFont="1"/>
    <xf numFmtId="0" fontId="18" fillId="0" borderId="0" xfId="0" applyFont="1"/>
    <xf numFmtId="0" fontId="19" fillId="0" borderId="0" xfId="0" applyFont="1"/>
    <xf numFmtId="0" fontId="20" fillId="0" borderId="0" xfId="0" applyFont="1"/>
    <xf numFmtId="0" fontId="1" fillId="3" borderId="0" xfId="0" applyFont="1" applyFill="1"/>
    <xf numFmtId="0" fontId="22" fillId="0" borderId="0" xfId="0" applyFont="1"/>
    <xf numFmtId="0" fontId="1" fillId="3" borderId="0" xfId="0" applyFont="1" applyFill="1" applyAlignment="1">
      <alignment horizontal="center" vertical="top"/>
    </xf>
    <xf numFmtId="0" fontId="0" fillId="3" borderId="0" xfId="0" applyFill="1" applyAlignment="1">
      <alignment horizontal="right" vertical="center"/>
    </xf>
    <xf numFmtId="0" fontId="0" fillId="3" borderId="0" xfId="0" applyFont="1" applyFill="1" applyAlignment="1">
      <alignment horizontal="center" vertical="top"/>
    </xf>
    <xf numFmtId="2" fontId="0" fillId="3" borderId="0" xfId="0" applyNumberFormat="1" applyFont="1" applyFill="1" applyAlignment="1">
      <alignment horizontal="center" vertical="top"/>
    </xf>
    <xf numFmtId="0" fontId="3" fillId="2" borderId="0" xfId="0" applyFont="1" applyFill="1" applyBorder="1" applyAlignment="1" applyProtection="1">
      <alignment horizontal="center" vertical="top"/>
    </xf>
    <xf numFmtId="0" fontId="0" fillId="4" borderId="0" xfId="0" applyFill="1" applyAlignment="1">
      <alignment horizontal="right" vertical="center"/>
    </xf>
    <xf numFmtId="0" fontId="0" fillId="4" borderId="0" xfId="0" applyFont="1" applyFill="1" applyAlignment="1">
      <alignment horizontal="left" vertical="top"/>
    </xf>
    <xf numFmtId="2" fontId="0" fillId="4" borderId="0" xfId="0" applyNumberFormat="1" applyFont="1" applyFill="1" applyAlignment="1">
      <alignment horizontal="center" vertical="top"/>
    </xf>
    <xf numFmtId="0" fontId="0" fillId="4" borderId="0" xfId="0" applyFont="1" applyFill="1" applyAlignment="1">
      <alignment horizontal="center" vertical="top"/>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165" fontId="4" fillId="4" borderId="3" xfId="0" applyNumberFormat="1" applyFont="1" applyFill="1" applyBorder="1" applyAlignment="1" applyProtection="1">
      <alignment horizontal="left" vertical="center"/>
    </xf>
    <xf numFmtId="165" fontId="0" fillId="3" borderId="0" xfId="0" applyNumberFormat="1" applyFont="1" applyFill="1" applyAlignment="1">
      <alignment horizontal="center" vertical="center"/>
    </xf>
    <xf numFmtId="0" fontId="1" fillId="3"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0" fontId="0" fillId="3" borderId="0" xfId="0" applyFont="1" applyFill="1" applyAlignment="1">
      <alignment horizontal="center"/>
    </xf>
    <xf numFmtId="0" fontId="0" fillId="3" borderId="0" xfId="0" applyFill="1" applyAlignment="1">
      <alignment horizontal="right"/>
    </xf>
    <xf numFmtId="165" fontId="18" fillId="3" borderId="0" xfId="0" applyNumberFormat="1" applyFont="1" applyFill="1" applyAlignment="1">
      <alignment horizontal="center" vertical="center"/>
    </xf>
    <xf numFmtId="0" fontId="18" fillId="3" borderId="0" xfId="0" applyFont="1" applyFill="1" applyAlignment="1">
      <alignment horizontal="center" vertical="center"/>
    </xf>
    <xf numFmtId="0" fontId="0" fillId="0" borderId="0" xfId="0" applyAlignment="1">
      <alignment horizontal="right" vertical="center"/>
    </xf>
    <xf numFmtId="0" fontId="4" fillId="4" borderId="0" xfId="0" applyFont="1" applyFill="1" applyBorder="1" applyAlignment="1" applyProtection="1">
      <alignment horizontal="center" vertical="center"/>
    </xf>
    <xf numFmtId="0" fontId="19" fillId="3" borderId="0" xfId="0" applyFont="1" applyFill="1" applyAlignment="1">
      <alignment horizontal="right" vertical="center"/>
    </xf>
    <xf numFmtId="165" fontId="19" fillId="0" borderId="0" xfId="0" applyNumberFormat="1" applyFont="1" applyAlignment="1">
      <alignment horizontal="center" vertical="center"/>
    </xf>
    <xf numFmtId="0" fontId="5" fillId="4" borderId="3" xfId="0" applyFont="1" applyFill="1" applyBorder="1" applyAlignment="1" applyProtection="1">
      <alignment horizontal="right" vertical="center"/>
    </xf>
    <xf numFmtId="165" fontId="5" fillId="4" borderId="3" xfId="0" applyNumberFormat="1"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165" fontId="25" fillId="4" borderId="3" xfId="0" applyNumberFormat="1" applyFont="1" applyFill="1" applyBorder="1" applyAlignment="1" applyProtection="1">
      <alignment horizontal="center" vertical="center"/>
    </xf>
    <xf numFmtId="165" fontId="20" fillId="3" borderId="0" xfId="0" applyNumberFormat="1" applyFont="1" applyFill="1" applyAlignment="1">
      <alignment horizontal="left" vertical="center"/>
    </xf>
    <xf numFmtId="0" fontId="20" fillId="0" borderId="0" xfId="0" applyFont="1" applyAlignment="1">
      <alignment vertical="center"/>
    </xf>
    <xf numFmtId="0" fontId="25" fillId="4" borderId="3" xfId="0" applyFont="1" applyFill="1" applyBorder="1" applyAlignment="1" applyProtection="1">
      <alignment horizontal="right" vertical="center"/>
    </xf>
    <xf numFmtId="0" fontId="25" fillId="4" borderId="3" xfId="0" applyFont="1" applyFill="1" applyBorder="1" applyAlignment="1" applyProtection="1">
      <alignment horizontal="center" vertical="center"/>
    </xf>
    <xf numFmtId="0" fontId="26" fillId="0" borderId="0" xfId="0" applyFont="1" applyAlignment="1">
      <alignment horizontal="right" vertical="center"/>
    </xf>
    <xf numFmtId="9" fontId="0" fillId="3" borderId="0" xfId="1" applyFont="1" applyFill="1" applyAlignment="1">
      <alignment horizontal="center" vertical="top"/>
    </xf>
    <xf numFmtId="9" fontId="0" fillId="4" borderId="0" xfId="1" applyFont="1" applyFill="1" applyAlignment="1">
      <alignment horizontal="center" vertical="top"/>
    </xf>
    <xf numFmtId="9" fontId="0" fillId="0" borderId="0" xfId="1" applyFont="1" applyAlignment="1">
      <alignment horizontal="center" vertical="center"/>
    </xf>
    <xf numFmtId="0" fontId="0" fillId="0" borderId="0" xfId="0" applyAlignment="1">
      <alignment horizontal="center" vertical="center"/>
    </xf>
    <xf numFmtId="165" fontId="0" fillId="0" borderId="0" xfId="0" applyNumberFormat="1" applyAlignment="1">
      <alignment horizontal="center"/>
    </xf>
    <xf numFmtId="0" fontId="21" fillId="7" borderId="0" xfId="3" applyFont="1" applyBorder="1" applyAlignment="1">
      <alignment horizontal="center" vertical="center"/>
    </xf>
    <xf numFmtId="3" fontId="0"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0" fontId="1" fillId="0" borderId="0" xfId="0" applyFont="1" applyAlignment="1">
      <alignment horizontal="center" vertical="center"/>
    </xf>
    <xf numFmtId="167" fontId="0" fillId="3" borderId="0" xfId="0" applyNumberFormat="1" applyFont="1" applyFill="1" applyAlignment="1">
      <alignment horizontal="center" vertical="center"/>
    </xf>
    <xf numFmtId="9" fontId="0" fillId="3" borderId="0" xfId="1" applyFont="1" applyFill="1" applyAlignment="1">
      <alignment horizontal="center" vertical="center"/>
    </xf>
    <xf numFmtId="0" fontId="18" fillId="3" borderId="0" xfId="0" applyFont="1" applyFill="1"/>
    <xf numFmtId="166" fontId="0" fillId="3" borderId="0" xfId="0" applyNumberFormat="1" applyFont="1" applyFill="1" applyAlignment="1">
      <alignment horizontal="center" vertical="center"/>
    </xf>
    <xf numFmtId="0" fontId="0" fillId="3" borderId="0" xfId="0" applyFont="1" applyFill="1" applyBorder="1" applyAlignment="1">
      <alignment horizontal="center"/>
    </xf>
    <xf numFmtId="165" fontId="0" fillId="3" borderId="0" xfId="0" applyNumberFormat="1" applyFont="1" applyFill="1" applyBorder="1" applyAlignment="1">
      <alignment horizontal="center" vertical="center"/>
    </xf>
    <xf numFmtId="0" fontId="5" fillId="4" borderId="3" xfId="0" applyFont="1" applyFill="1" applyBorder="1" applyAlignment="1" applyProtection="1">
      <alignment vertical="center"/>
    </xf>
    <xf numFmtId="165" fontId="18" fillId="0" borderId="0" xfId="0" applyNumberFormat="1" applyFont="1" applyAlignment="1">
      <alignment horizontal="center"/>
    </xf>
    <xf numFmtId="0" fontId="18" fillId="0" borderId="0" xfId="0" applyFont="1" applyAlignment="1">
      <alignment horizontal="center"/>
    </xf>
    <xf numFmtId="0" fontId="18" fillId="3" borderId="0" xfId="0" applyFont="1" applyFill="1" applyBorder="1" applyAlignment="1">
      <alignment horizontal="right" vertical="center"/>
    </xf>
    <xf numFmtId="0" fontId="10" fillId="5" borderId="0" xfId="0" applyFont="1" applyFill="1" applyBorder="1" applyAlignment="1" applyProtection="1">
      <alignment horizontal="left" vertical="center"/>
    </xf>
    <xf numFmtId="0" fontId="5" fillId="5" borderId="0" xfId="0" applyFont="1" applyFill="1" applyBorder="1" applyAlignment="1" applyProtection="1">
      <alignment vertical="center"/>
    </xf>
    <xf numFmtId="0" fontId="0" fillId="3" borderId="0" xfId="0" applyFont="1" applyFill="1" applyBorder="1" applyAlignment="1">
      <alignment horizontal="center" vertical="center"/>
    </xf>
    <xf numFmtId="0" fontId="7" fillId="5" borderId="0" xfId="0" applyFont="1" applyFill="1" applyBorder="1" applyAlignment="1" applyProtection="1">
      <alignment horizontal="center" vertical="center"/>
    </xf>
    <xf numFmtId="9" fontId="5" fillId="5" borderId="0" xfId="0" applyNumberFormat="1"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3" fontId="5" fillId="5" borderId="0" xfId="0" applyNumberFormat="1" applyFont="1" applyFill="1" applyBorder="1" applyAlignment="1" applyProtection="1">
      <alignment horizontal="center" vertical="center"/>
    </xf>
    <xf numFmtId="165" fontId="5" fillId="5" borderId="0" xfId="0" applyNumberFormat="1" applyFont="1" applyFill="1" applyBorder="1" applyAlignment="1" applyProtection="1">
      <alignment horizontal="center" vertical="center"/>
    </xf>
    <xf numFmtId="0" fontId="19" fillId="0" borderId="0" xfId="0" applyFont="1" applyAlignment="1">
      <alignment horizontal="left" vertical="center"/>
    </xf>
    <xf numFmtId="0" fontId="27" fillId="0" borderId="0" xfId="0" applyFont="1"/>
    <xf numFmtId="0" fontId="2" fillId="5" borderId="0" xfId="0" applyFont="1" applyFill="1" applyBorder="1" applyAlignment="1" applyProtection="1">
      <alignment horizontal="left" vertical="center"/>
    </xf>
    <xf numFmtId="0" fontId="0" fillId="8" borderId="1" xfId="0" applyFont="1" applyFill="1" applyBorder="1" applyAlignment="1">
      <alignment horizontal="center" vertical="center"/>
    </xf>
    <xf numFmtId="165" fontId="0" fillId="8" borderId="1" xfId="0" applyNumberFormat="1" applyFont="1" applyFill="1" applyBorder="1" applyAlignment="1">
      <alignment horizontal="center" vertical="center"/>
    </xf>
    <xf numFmtId="0" fontId="0" fillId="8" borderId="1" xfId="0" applyFont="1" applyFill="1" applyBorder="1" applyAlignment="1">
      <alignment horizontal="center" vertical="top"/>
    </xf>
    <xf numFmtId="0" fontId="0" fillId="8" borderId="2" xfId="0" applyFont="1" applyFill="1" applyBorder="1" applyAlignment="1">
      <alignment horizontal="center" vertical="top"/>
    </xf>
    <xf numFmtId="165" fontId="0" fillId="8" borderId="1" xfId="0" applyNumberFormat="1" applyFont="1" applyFill="1" applyBorder="1" applyAlignment="1">
      <alignment horizontal="center" vertical="top"/>
    </xf>
    <xf numFmtId="1" fontId="0" fillId="8" borderId="1" xfId="0" applyNumberFormat="1" applyFont="1" applyFill="1" applyBorder="1" applyAlignment="1">
      <alignment horizontal="center" vertical="top"/>
    </xf>
    <xf numFmtId="9" fontId="0" fillId="8" borderId="1" xfId="0" applyNumberFormat="1" applyFont="1" applyFill="1" applyBorder="1" applyAlignment="1">
      <alignment horizontal="center" vertical="top"/>
    </xf>
    <xf numFmtId="9" fontId="0" fillId="8" borderId="1" xfId="0" applyNumberFormat="1" applyFont="1" applyFill="1" applyBorder="1" applyAlignment="1">
      <alignment horizontal="center" vertical="center"/>
    </xf>
    <xf numFmtId="9" fontId="0" fillId="8" borderId="1" xfId="1" applyFont="1" applyFill="1" applyBorder="1" applyAlignment="1">
      <alignment horizontal="center" vertical="center"/>
    </xf>
    <xf numFmtId="3" fontId="0" fillId="8" borderId="1" xfId="0" applyNumberFormat="1" applyFont="1" applyFill="1" applyBorder="1" applyAlignment="1">
      <alignment horizontal="center" vertical="center"/>
    </xf>
    <xf numFmtId="0" fontId="24" fillId="8" borderId="1" xfId="2" applyFont="1" applyFill="1" applyBorder="1" applyAlignment="1">
      <alignment horizontal="center" vertical="center"/>
    </xf>
    <xf numFmtId="49" fontId="23" fillId="8" borderId="4" xfId="2" applyNumberFormat="1" applyFont="1" applyFill="1" applyAlignment="1">
      <alignment horizontal="center" vertical="center"/>
    </xf>
    <xf numFmtId="0" fontId="4" fillId="4" borderId="3" xfId="0" applyFont="1" applyFill="1" applyBorder="1" applyAlignment="1" applyProtection="1">
      <alignment vertical="center"/>
    </xf>
    <xf numFmtId="165" fontId="4" fillId="4" borderId="3" xfId="0" applyNumberFormat="1" applyFont="1" applyFill="1" applyBorder="1" applyAlignment="1" applyProtection="1">
      <alignment vertical="center"/>
    </xf>
    <xf numFmtId="0" fontId="30" fillId="0" borderId="0" xfId="0" applyFont="1"/>
    <xf numFmtId="0" fontId="31" fillId="0" borderId="0" xfId="0" applyFont="1" applyAlignment="1">
      <alignment vertical="center"/>
    </xf>
    <xf numFmtId="9" fontId="28" fillId="8" borderId="1" xfId="0" applyNumberFormat="1" applyFont="1" applyFill="1" applyBorder="1" applyAlignment="1">
      <alignment horizontal="center" vertical="top"/>
    </xf>
    <xf numFmtId="0" fontId="28" fillId="3" borderId="0" xfId="0" applyFont="1" applyFill="1" applyAlignment="1">
      <alignment vertical="center"/>
    </xf>
    <xf numFmtId="0" fontId="28" fillId="3" borderId="0" xfId="0" applyFont="1" applyFill="1" applyAlignment="1">
      <alignment horizontal="left" vertical="top"/>
    </xf>
    <xf numFmtId="0" fontId="28" fillId="0" borderId="0" xfId="0" applyFont="1"/>
    <xf numFmtId="168" fontId="0" fillId="0" borderId="0" xfId="4" applyNumberFormat="1" applyFont="1"/>
    <xf numFmtId="168" fontId="0" fillId="0" borderId="0" xfId="0" applyNumberFormat="1" applyFont="1" applyAlignment="1">
      <alignment vertical="center"/>
    </xf>
    <xf numFmtId="9" fontId="28" fillId="8" borderId="1" xfId="0" applyNumberFormat="1" applyFont="1" applyFill="1" applyBorder="1" applyAlignment="1">
      <alignment horizontal="center" vertical="center"/>
    </xf>
    <xf numFmtId="0" fontId="28" fillId="3" borderId="0" xfId="0" applyFont="1" applyFill="1" applyAlignment="1">
      <alignment horizontal="center" vertical="center"/>
    </xf>
    <xf numFmtId="0" fontId="28" fillId="0" borderId="0" xfId="0" applyFont="1" applyAlignment="1">
      <alignment horizontal="left" vertical="center"/>
    </xf>
    <xf numFmtId="0" fontId="28" fillId="0" borderId="0" xfId="0" applyFont="1" applyAlignment="1">
      <alignment horizontal="left"/>
    </xf>
    <xf numFmtId="0" fontId="2" fillId="3" borderId="0" xfId="0" applyFont="1" applyFill="1"/>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8" borderId="1" xfId="0" applyFill="1" applyBorder="1" applyAlignment="1">
      <alignment horizontal="center" vertical="center"/>
    </xf>
    <xf numFmtId="3" fontId="0" fillId="8" borderId="1" xfId="0" applyNumberFormat="1" applyFill="1" applyBorder="1" applyAlignment="1">
      <alignment horizontal="center" vertical="center"/>
    </xf>
    <xf numFmtId="4" fontId="0" fillId="3" borderId="0" xfId="0" applyNumberFormat="1" applyFill="1" applyAlignment="1">
      <alignment horizontal="center" vertical="top"/>
    </xf>
    <xf numFmtId="3" fontId="0" fillId="3" borderId="0" xfId="0" applyNumberFormat="1" applyFill="1" applyAlignment="1">
      <alignment horizontal="center" vertical="top"/>
    </xf>
    <xf numFmtId="0" fontId="0" fillId="4" borderId="0" xfId="0" applyFill="1" applyAlignment="1">
      <alignment horizontal="right"/>
    </xf>
    <xf numFmtId="0" fontId="0" fillId="4" borderId="0" xfId="0" applyFill="1" applyAlignment="1">
      <alignment horizontal="left" vertical="top"/>
    </xf>
    <xf numFmtId="0" fontId="0" fillId="4" borderId="0" xfId="0" applyFill="1" applyAlignment="1">
      <alignment horizontal="center" vertical="center"/>
    </xf>
    <xf numFmtId="3" fontId="0" fillId="4" borderId="0" xfId="0" applyNumberFormat="1" applyFill="1" applyAlignment="1">
      <alignment horizontal="center" vertical="top"/>
    </xf>
    <xf numFmtId="3" fontId="0" fillId="3" borderId="0" xfId="0" applyNumberFormat="1" applyFill="1" applyAlignment="1">
      <alignment horizontal="left" vertical="top"/>
    </xf>
    <xf numFmtId="0" fontId="2" fillId="3" borderId="0" xfId="0" applyFont="1" applyFill="1" applyAlignment="1">
      <alignment horizontal="left" vertical="top"/>
    </xf>
    <xf numFmtId="0" fontId="0" fillId="8" borderId="1" xfId="0" applyFill="1" applyBorder="1" applyAlignment="1">
      <alignment horizontal="center" vertical="top"/>
    </xf>
    <xf numFmtId="0" fontId="0" fillId="3" borderId="0" xfId="0" applyFill="1" applyAlignment="1">
      <alignment horizontal="center" vertical="top"/>
    </xf>
    <xf numFmtId="4" fontId="0" fillId="3" borderId="0" xfId="1" applyNumberFormat="1" applyFont="1" applyFill="1" applyAlignment="1">
      <alignment horizontal="center" vertical="top"/>
    </xf>
    <xf numFmtId="0" fontId="0" fillId="0" borderId="0" xfId="0" applyAlignment="1">
      <alignment horizontal="left" vertical="top"/>
    </xf>
    <xf numFmtId="2" fontId="0" fillId="0" borderId="0" xfId="0" applyNumberFormat="1" applyAlignment="1">
      <alignment horizontal="center" vertical="top"/>
    </xf>
    <xf numFmtId="0" fontId="0" fillId="0" borderId="0" xfId="0" applyAlignment="1">
      <alignment horizontal="center" vertical="top"/>
    </xf>
    <xf numFmtId="0" fontId="3" fillId="2" borderId="0" xfId="0" applyFont="1" applyFill="1" applyAlignment="1">
      <alignment horizontal="left" vertical="top"/>
    </xf>
    <xf numFmtId="0" fontId="3" fillId="2" borderId="0" xfId="0" applyFont="1" applyFill="1" applyAlignment="1">
      <alignment horizontal="center" vertical="top"/>
    </xf>
    <xf numFmtId="0" fontId="0" fillId="4" borderId="0" xfId="0" applyFill="1"/>
    <xf numFmtId="9" fontId="0" fillId="4" borderId="0" xfId="1" applyFont="1" applyFill="1" applyBorder="1" applyAlignment="1">
      <alignment horizontal="center" vertical="center"/>
    </xf>
    <xf numFmtId="0" fontId="0" fillId="4" borderId="0" xfId="0" applyFill="1" applyAlignment="1">
      <alignment horizontal="center" vertical="top"/>
    </xf>
    <xf numFmtId="9" fontId="0" fillId="0" borderId="6" xfId="1" applyFont="1" applyFill="1" applyBorder="1" applyAlignment="1">
      <alignment horizontal="center" vertical="center"/>
    </xf>
    <xf numFmtId="0" fontId="0" fillId="8" borderId="2" xfId="0" applyFill="1" applyBorder="1" applyAlignment="1">
      <alignment horizontal="center" vertical="top"/>
    </xf>
    <xf numFmtId="9" fontId="0" fillId="0" borderId="3" xfId="1" applyFont="1" applyFill="1" applyBorder="1" applyAlignment="1">
      <alignment horizontal="center" vertical="center"/>
    </xf>
    <xf numFmtId="9" fontId="0" fillId="0" borderId="0" xfId="1" applyFont="1" applyFill="1" applyBorder="1" applyAlignment="1">
      <alignment horizontal="center" vertical="center"/>
    </xf>
    <xf numFmtId="165" fontId="0" fillId="0" borderId="0" xfId="0" applyNumberFormat="1" applyAlignment="1">
      <alignment horizontal="center" vertical="center"/>
    </xf>
    <xf numFmtId="165" fontId="0" fillId="3" borderId="0" xfId="0" applyNumberFormat="1" applyFill="1" applyAlignment="1">
      <alignment horizontal="left" vertical="top"/>
    </xf>
    <xf numFmtId="0" fontId="3" fillId="2" borderId="0" xfId="0" applyFont="1" applyFill="1"/>
    <xf numFmtId="3" fontId="0" fillId="0" borderId="0" xfId="0" applyNumberFormat="1" applyAlignment="1">
      <alignment horizontal="center" vertical="center"/>
    </xf>
    <xf numFmtId="0" fontId="25" fillId="4" borderId="3" xfId="0" applyFont="1" applyFill="1" applyBorder="1" applyAlignment="1">
      <alignment horizontal="right" vertical="center"/>
    </xf>
    <xf numFmtId="165" fontId="25" fillId="4" borderId="3" xfId="0" applyNumberFormat="1" applyFont="1" applyFill="1" applyBorder="1" applyAlignment="1">
      <alignment horizontal="center" vertical="center"/>
    </xf>
    <xf numFmtId="0" fontId="25" fillId="4" borderId="3" xfId="0" applyFont="1" applyFill="1" applyBorder="1" applyAlignment="1">
      <alignment horizontal="center" vertical="center"/>
    </xf>
    <xf numFmtId="0" fontId="3" fillId="2" borderId="0" xfId="0" applyFont="1" applyFill="1" applyBorder="1" applyAlignment="1" applyProtection="1">
      <alignment horizontal="center" vertical="center" wrapText="1"/>
    </xf>
    <xf numFmtId="0" fontId="32" fillId="3" borderId="0" xfId="0" applyFont="1" applyFill="1"/>
    <xf numFmtId="169" fontId="0" fillId="0" borderId="0" xfId="0" applyNumberFormat="1" applyFont="1" applyAlignment="1">
      <alignment vertical="center"/>
    </xf>
  </cellXfs>
  <cellStyles count="5">
    <cellStyle name="Check Cell" xfId="3" builtinId="23"/>
    <cellStyle name="Currency" xfId="4" builtinId="4"/>
    <cellStyle name="Input" xfId="2" builtinId="20"/>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Estimated Adoption Over Time (Weeks)</a:t>
            </a:r>
          </a:p>
        </c:rich>
      </c:tx>
      <c:layout>
        <c:manualLayout>
          <c:xMode val="edge"/>
          <c:yMode val="edge"/>
          <c:x val="0.3134573643410854"/>
          <c:y val="3.6463959920319415E-2"/>
        </c:manualLayout>
      </c:layout>
      <c:overlay val="0"/>
    </c:title>
    <c:autoTitleDeleted val="0"/>
    <c:plotArea>
      <c:layout>
        <c:manualLayout>
          <c:layoutTarget val="inner"/>
          <c:xMode val="edge"/>
          <c:yMode val="edge"/>
          <c:x val="6.1234254115182157E-2"/>
          <c:y val="0.17369471776416379"/>
          <c:w val="0.9153996971752576"/>
          <c:h val="0.72289291732107408"/>
        </c:manualLayout>
      </c:layout>
      <c:lineChart>
        <c:grouping val="standard"/>
        <c:varyColors val="0"/>
        <c:ser>
          <c:idx val="1"/>
          <c:order val="0"/>
          <c:cat>
            <c:numRef>
              <c:f>'Test Productivity'!$K$25:$K$30</c:f>
              <c:numCache>
                <c:formatCode>General</c:formatCode>
                <c:ptCount val="6"/>
                <c:pt idx="0">
                  <c:v>0</c:v>
                </c:pt>
                <c:pt idx="1">
                  <c:v>3</c:v>
                </c:pt>
                <c:pt idx="2">
                  <c:v>6</c:v>
                </c:pt>
                <c:pt idx="3">
                  <c:v>18</c:v>
                </c:pt>
                <c:pt idx="4">
                  <c:v>34</c:v>
                </c:pt>
                <c:pt idx="5">
                  <c:v>52</c:v>
                </c:pt>
              </c:numCache>
            </c:numRef>
          </c:cat>
          <c:val>
            <c:numRef>
              <c:f>'Test Productivity'!$E$25:$E$30</c:f>
              <c:numCache>
                <c:formatCode>0%</c:formatCode>
                <c:ptCount val="6"/>
                <c:pt idx="0">
                  <c:v>0</c:v>
                </c:pt>
                <c:pt idx="1">
                  <c:v>0</c:v>
                </c:pt>
                <c:pt idx="2">
                  <c:v>0.2</c:v>
                </c:pt>
                <c:pt idx="3">
                  <c:v>0.75</c:v>
                </c:pt>
                <c:pt idx="4">
                  <c:v>1</c:v>
                </c:pt>
                <c:pt idx="5">
                  <c:v>1</c:v>
                </c:pt>
              </c:numCache>
            </c:numRef>
          </c:val>
          <c:smooth val="0"/>
          <c:extLst>
            <c:ext xmlns:c16="http://schemas.microsoft.com/office/drawing/2014/chart" uri="{C3380CC4-5D6E-409C-BE32-E72D297353CC}">
              <c16:uniqueId val="{00000000-9139-46B1-B857-BB409B00FBF4}"/>
            </c:ext>
          </c:extLst>
        </c:ser>
        <c:dLbls>
          <c:showLegendKey val="0"/>
          <c:showVal val="0"/>
          <c:showCatName val="0"/>
          <c:showSerName val="0"/>
          <c:showPercent val="0"/>
          <c:showBubbleSize val="0"/>
        </c:dLbls>
        <c:marker val="1"/>
        <c:smooth val="0"/>
        <c:axId val="105207296"/>
        <c:axId val="74638080"/>
      </c:lineChart>
      <c:dateAx>
        <c:axId val="105207296"/>
        <c:scaling>
          <c:orientation val="minMax"/>
        </c:scaling>
        <c:delete val="0"/>
        <c:axPos val="b"/>
        <c:numFmt formatCode="General" sourceLinked="1"/>
        <c:majorTickMark val="out"/>
        <c:minorTickMark val="none"/>
        <c:tickLblPos val="nextTo"/>
        <c:crossAx val="74638080"/>
        <c:crosses val="autoZero"/>
        <c:auto val="0"/>
        <c:lblOffset val="100"/>
        <c:baseTimeUnit val="days"/>
      </c:dateAx>
      <c:valAx>
        <c:axId val="74638080"/>
        <c:scaling>
          <c:orientation val="minMax"/>
          <c:max val="1"/>
          <c:min val="0"/>
        </c:scaling>
        <c:delete val="0"/>
        <c:axPos val="l"/>
        <c:majorGridlines/>
        <c:numFmt formatCode="0%" sourceLinked="1"/>
        <c:majorTickMark val="out"/>
        <c:minorTickMark val="none"/>
        <c:tickLblPos val="nextTo"/>
        <c:crossAx val="105207296"/>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96F-459B-9914-DBCBAE619ED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E96F-459B-9914-DBCBAE619ED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96F-459B-9914-DBCBAE619ED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E96F-459B-9914-DBCBAE619ED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96F-459B-9914-DBCBAE619ED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96F-459B-9914-DBCBAE619ED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96F-459B-9914-DBCBAE619ED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E96F-459B-9914-DBCBAE619ED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E96F-459B-9914-DBCBAE619ED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E96F-459B-9914-DBCBAE619ED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4-E96F-459B-9914-DBCBAE619ED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E96F-459B-9914-DBCBAE619ED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6-E96F-459B-9914-DBCBAE619ED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E96F-459B-9914-DBCBAE619EDB}"/>
                </c:ext>
              </c:extLst>
            </c:dLbl>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Results!$B$8:$B$14</c:f>
              <c:strCache>
                <c:ptCount val="7"/>
                <c:pt idx="0">
                  <c:v>Productivity</c:v>
                </c:pt>
                <c:pt idx="1">
                  <c:v>Test Productivity</c:v>
                </c:pt>
                <c:pt idx="2">
                  <c:v>Utilization</c:v>
                </c:pt>
                <c:pt idx="3">
                  <c:v>Operational Expenses</c:v>
                </c:pt>
                <c:pt idx="4">
                  <c:v>Time To Market</c:v>
                </c:pt>
                <c:pt idx="5">
                  <c:v>Network Down Time</c:v>
                </c:pt>
                <c:pt idx="6">
                  <c:v>Collaboration</c:v>
                </c:pt>
              </c:strCache>
            </c:strRef>
          </c:cat>
          <c:val>
            <c:numRef>
              <c:f>Results!$D$8:$D$14</c:f>
              <c:numCache>
                <c:formatCode>"$"#,##0</c:formatCode>
                <c:ptCount val="7"/>
                <c:pt idx="0">
                  <c:v>330000</c:v>
                </c:pt>
                <c:pt idx="1">
                  <c:v>310576.92307692312</c:v>
                </c:pt>
                <c:pt idx="2">
                  <c:v>172500</c:v>
                </c:pt>
                <c:pt idx="3">
                  <c:v>18000</c:v>
                </c:pt>
                <c:pt idx="4">
                  <c:v>70724.571428571435</c:v>
                </c:pt>
                <c:pt idx="5">
                  <c:v>150388.30125000002</c:v>
                </c:pt>
                <c:pt idx="6">
                  <c:v>1442.3076923076924</c:v>
                </c:pt>
              </c:numCache>
            </c:numRef>
          </c:val>
          <c:extLst>
            <c:ext xmlns:c16="http://schemas.microsoft.com/office/drawing/2014/chart" uri="{C3380CC4-5D6E-409C-BE32-E72D297353CC}">
              <c16:uniqueId val="{00000000-ABB7-41BA-8127-3CB1F9F5315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4784-4736-AC74-B3EAE5D603B5}"/>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784-4736-AC74-B3EAE5D603B5}"/>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4784-4736-AC74-B3EAE5D603B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784-4736-AC74-B3EAE5D603B5}"/>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4784-4736-AC74-B3EAE5D603B5}"/>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784-4736-AC74-B3EAE5D603B5}"/>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4784-4736-AC74-B3EAE5D603B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4784-4736-AC74-B3EAE5D603B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4784-4736-AC74-B3EAE5D603B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4-4784-4736-AC74-B3EAE5D603B5}"/>
                </c:ext>
              </c:extLst>
            </c:dLbl>
            <c:dLbl>
              <c:idx val="3"/>
              <c:layout>
                <c:manualLayout>
                  <c:x val="-3.2385016192508095E-2"/>
                  <c:y val="3.075172221751395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784-4736-AC74-B3EAE5D603B5}"/>
                </c:ext>
              </c:extLst>
            </c:dLbl>
            <c:dLbl>
              <c:idx val="4"/>
              <c:layout>
                <c:manualLayout>
                  <c:x val="-2.9686264843132446E-2"/>
                  <c:y val="-3.416858024168217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784-4736-AC74-B3EAE5D603B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4784-4736-AC74-B3EAE5D603B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8-4784-4736-AC74-B3EAE5D603B5}"/>
                </c:ext>
              </c:extLst>
            </c:dLbl>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Results!$B$8:$B$14</c:f>
              <c:strCache>
                <c:ptCount val="7"/>
                <c:pt idx="0">
                  <c:v>Productivity</c:v>
                </c:pt>
                <c:pt idx="1">
                  <c:v>Test Productivity</c:v>
                </c:pt>
                <c:pt idx="2">
                  <c:v>Utilization</c:v>
                </c:pt>
                <c:pt idx="3">
                  <c:v>Operational Expenses</c:v>
                </c:pt>
                <c:pt idx="4">
                  <c:v>Time To Market</c:v>
                </c:pt>
                <c:pt idx="5">
                  <c:v>Network Down Time</c:v>
                </c:pt>
                <c:pt idx="6">
                  <c:v>Collaboration</c:v>
                </c:pt>
              </c:strCache>
            </c:strRef>
          </c:cat>
          <c:val>
            <c:numRef>
              <c:f>Results!$J$8:$J$14</c:f>
              <c:numCache>
                <c:formatCode>"$"#,##0</c:formatCode>
                <c:ptCount val="7"/>
                <c:pt idx="0">
                  <c:v>990000</c:v>
                </c:pt>
                <c:pt idx="1">
                  <c:v>1160576.923076923</c:v>
                </c:pt>
                <c:pt idx="2">
                  <c:v>918131.25</c:v>
                </c:pt>
                <c:pt idx="3">
                  <c:v>54000</c:v>
                </c:pt>
                <c:pt idx="4">
                  <c:v>212173.71428571432</c:v>
                </c:pt>
                <c:pt idx="5">
                  <c:v>451164.90375000006</c:v>
                </c:pt>
                <c:pt idx="6">
                  <c:v>4326.9230769230771</c:v>
                </c:pt>
              </c:numCache>
            </c:numRef>
          </c:val>
          <c:extLst>
            <c:ext xmlns:c16="http://schemas.microsoft.com/office/drawing/2014/chart" uri="{C3380CC4-5D6E-409C-BE32-E72D297353CC}">
              <c16:uniqueId val="{00000000-4784-4736-AC74-B3EAE5D603B5}"/>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95249</xdr:colOff>
      <xdr:row>0</xdr:row>
      <xdr:rowOff>123825</xdr:rowOff>
    </xdr:from>
    <xdr:to>
      <xdr:col>4</xdr:col>
      <xdr:colOff>409574</xdr:colOff>
      <xdr:row>2</xdr:row>
      <xdr:rowOff>19051</xdr:rowOff>
    </xdr:to>
    <xdr:pic>
      <xdr:nvPicPr>
        <xdr:cNvPr id="4" name="Picture 74" descr="logo mediym">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 y="123825"/>
          <a:ext cx="2143125" cy="352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962025</xdr:colOff>
      <xdr:row>31</xdr:row>
      <xdr:rowOff>9524</xdr:rowOff>
    </xdr:from>
    <xdr:to>
      <xdr:col>10</xdr:col>
      <xdr:colOff>190500</xdr:colOff>
      <xdr:row>44</xdr:row>
      <xdr:rowOff>0</xdr:rowOff>
    </xdr:to>
    <xdr:graphicFrame macro="">
      <xdr:nvGraphicFramePr>
        <xdr:cNvPr id="2" name="Chart 1">
          <a:extLst>
            <a:ext uri="{FF2B5EF4-FFF2-40B4-BE49-F238E27FC236}">
              <a16:creationId xmlns:a16="http://schemas.microsoft.com/office/drawing/2014/main" id="{333C2D17-B205-485A-9BC6-0E8533C0B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476250</xdr:colOff>
      <xdr:row>8</xdr:row>
      <xdr:rowOff>85725</xdr:rowOff>
    </xdr:from>
    <xdr:to>
      <xdr:col>5</xdr:col>
      <xdr:colOff>250774</xdr:colOff>
      <xdr:row>30</xdr:row>
      <xdr:rowOff>57150</xdr:rowOff>
    </xdr:to>
    <xdr:pic>
      <xdr:nvPicPr>
        <xdr:cNvPr id="2" name="Picture 1" descr="Formula for late to market.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76250" y="85725"/>
          <a:ext cx="6794449" cy="5419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228599</xdr:colOff>
      <xdr:row>30</xdr:row>
      <xdr:rowOff>219075</xdr:rowOff>
    </xdr:from>
    <xdr:to>
      <xdr:col>9</xdr:col>
      <xdr:colOff>942975</xdr:colOff>
      <xdr:row>47</xdr:row>
      <xdr:rowOff>47625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1</xdr:row>
      <xdr:rowOff>19050</xdr:rowOff>
    </xdr:from>
    <xdr:to>
      <xdr:col>1</xdr:col>
      <xdr:colOff>2228850</xdr:colOff>
      <xdr:row>2</xdr:row>
      <xdr:rowOff>142876</xdr:rowOff>
    </xdr:to>
    <xdr:pic>
      <xdr:nvPicPr>
        <xdr:cNvPr id="4" name="Picture 74" descr="logo mediym">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247650"/>
          <a:ext cx="2143125" cy="352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51</xdr:row>
      <xdr:rowOff>0</xdr:rowOff>
    </xdr:from>
    <xdr:to>
      <xdr:col>9</xdr:col>
      <xdr:colOff>712260</xdr:colOff>
      <xdr:row>67</xdr:row>
      <xdr:rowOff>61382</xdr:rowOff>
    </xdr:to>
    <xdr:graphicFrame macro="">
      <xdr:nvGraphicFramePr>
        <xdr:cNvPr id="5" name="Chart 4">
          <a:extLst>
            <a:ext uri="{FF2B5EF4-FFF2-40B4-BE49-F238E27FC236}">
              <a16:creationId xmlns:a16="http://schemas.microsoft.com/office/drawing/2014/main" id="{D4CD80D5-E222-463C-AA05-1FFDC95F0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R76"/>
  <sheetViews>
    <sheetView showGridLines="0" topLeftCell="A43" workbookViewId="0">
      <selection activeCell="U29" sqref="U29"/>
    </sheetView>
  </sheetViews>
  <sheetFormatPr defaultRowHeight="18" customHeight="1" x14ac:dyDescent="0.5"/>
  <cols>
    <col min="1" max="1" width="6.703125" customWidth="1"/>
  </cols>
  <sheetData>
    <row r="4" spans="2:18" ht="18" customHeight="1" x14ac:dyDescent="0.6">
      <c r="B4" s="38" t="s">
        <v>47</v>
      </c>
    </row>
    <row r="5" spans="2:18" ht="18" customHeight="1" x14ac:dyDescent="0.5">
      <c r="B5" t="s">
        <v>183</v>
      </c>
    </row>
    <row r="6" spans="2:18" ht="18" customHeight="1" x14ac:dyDescent="0.5">
      <c r="B6" t="s">
        <v>161</v>
      </c>
    </row>
    <row r="8" spans="2:18" s="21" customFormat="1" ht="18" customHeight="1" x14ac:dyDescent="0.5">
      <c r="B8" s="115" t="s">
        <v>51</v>
      </c>
      <c r="C8" s="116"/>
      <c r="D8" s="116"/>
      <c r="E8" s="115"/>
      <c r="F8" s="116"/>
      <c r="G8" s="116"/>
      <c r="H8" s="116"/>
      <c r="I8" s="116"/>
      <c r="J8" s="115"/>
      <c r="K8" s="116"/>
      <c r="L8" s="116"/>
      <c r="M8" s="115"/>
      <c r="N8" s="116"/>
    </row>
    <row r="9" spans="2:18" ht="18" customHeight="1" x14ac:dyDescent="0.55000000000000004">
      <c r="B9" s="36" t="s">
        <v>163</v>
      </c>
      <c r="C9" s="36"/>
      <c r="D9" s="36"/>
      <c r="E9" s="36"/>
      <c r="F9" s="36"/>
      <c r="G9" s="36"/>
      <c r="H9" s="36"/>
      <c r="I9" s="36"/>
      <c r="J9" s="36"/>
      <c r="K9" s="36"/>
      <c r="L9" s="36"/>
      <c r="M9" s="36"/>
      <c r="N9" s="36"/>
      <c r="O9" s="36"/>
      <c r="P9" s="36"/>
      <c r="Q9" s="36"/>
      <c r="R9" s="36"/>
    </row>
    <row r="10" spans="2:18" ht="18" customHeight="1" x14ac:dyDescent="0.5">
      <c r="B10" t="s">
        <v>164</v>
      </c>
    </row>
    <row r="12" spans="2:18" ht="18" customHeight="1" x14ac:dyDescent="0.5">
      <c r="B12" t="s">
        <v>162</v>
      </c>
    </row>
    <row r="14" spans="2:18" ht="18" customHeight="1" x14ac:dyDescent="0.5">
      <c r="B14" t="s">
        <v>65</v>
      </c>
    </row>
    <row r="15" spans="2:18" ht="18" customHeight="1" x14ac:dyDescent="0.5">
      <c r="B15" t="s">
        <v>182</v>
      </c>
    </row>
    <row r="17" spans="2:14" ht="18" customHeight="1" x14ac:dyDescent="0.5">
      <c r="B17" t="s">
        <v>165</v>
      </c>
    </row>
    <row r="19" spans="2:14" s="21" customFormat="1" ht="18" customHeight="1" x14ac:dyDescent="0.5">
      <c r="B19" s="115" t="s">
        <v>64</v>
      </c>
      <c r="C19" s="116"/>
      <c r="D19" s="116"/>
      <c r="E19" s="115"/>
      <c r="F19" s="116"/>
      <c r="G19" s="116"/>
      <c r="H19" s="116"/>
      <c r="I19" s="116"/>
      <c r="J19" s="115"/>
      <c r="K19" s="116"/>
      <c r="L19" s="116"/>
      <c r="M19" s="115"/>
      <c r="N19" s="116"/>
    </row>
    <row r="20" spans="2:14" ht="18" customHeight="1" x14ac:dyDescent="0.5">
      <c r="C20" s="33" t="s">
        <v>48</v>
      </c>
    </row>
    <row r="21" spans="2:14" ht="18" customHeight="1" x14ac:dyDescent="0.5">
      <c r="C21" s="9" t="s">
        <v>24</v>
      </c>
      <c r="D21" s="8"/>
      <c r="E21" s="8"/>
      <c r="F21" s="8"/>
      <c r="G21" s="8"/>
      <c r="H21" s="8"/>
      <c r="I21" s="8"/>
      <c r="J21" s="8"/>
      <c r="K21" s="8"/>
      <c r="L21" s="8"/>
      <c r="M21" s="8"/>
      <c r="N21" s="8"/>
    </row>
    <row r="22" spans="2:14" ht="18" customHeight="1" x14ac:dyDescent="0.5">
      <c r="C22" s="9" t="s">
        <v>66</v>
      </c>
      <c r="D22" s="8"/>
      <c r="E22" s="8"/>
      <c r="F22" s="8"/>
      <c r="G22" s="8"/>
      <c r="H22" s="8"/>
      <c r="I22" s="8"/>
      <c r="J22" s="8"/>
      <c r="K22" s="8"/>
      <c r="L22" s="8"/>
      <c r="M22" s="8"/>
      <c r="N22" s="8"/>
    </row>
    <row r="23" spans="2:14" ht="18" customHeight="1" x14ac:dyDescent="0.5">
      <c r="C23" s="9" t="s">
        <v>25</v>
      </c>
      <c r="D23" s="8"/>
      <c r="E23" s="8"/>
      <c r="F23" s="8"/>
      <c r="G23" s="8"/>
      <c r="H23" s="8"/>
      <c r="I23" s="8"/>
      <c r="J23" s="8"/>
      <c r="K23" s="8"/>
      <c r="L23" s="8"/>
      <c r="M23" s="8"/>
      <c r="N23" s="8"/>
    </row>
    <row r="24" spans="2:14" ht="18" customHeight="1" x14ac:dyDescent="0.5">
      <c r="C24" s="9" t="s">
        <v>67</v>
      </c>
      <c r="D24" s="8"/>
      <c r="E24" s="8"/>
      <c r="F24" s="8"/>
      <c r="G24" s="8"/>
      <c r="H24" s="8"/>
      <c r="I24" s="8"/>
      <c r="J24" s="8"/>
      <c r="K24" s="8"/>
      <c r="L24" s="8"/>
      <c r="M24" s="8"/>
      <c r="N24" s="8"/>
    </row>
    <row r="25" spans="2:14" ht="18" customHeight="1" x14ac:dyDescent="0.5">
      <c r="C25" s="9" t="s">
        <v>68</v>
      </c>
      <c r="D25" s="8"/>
      <c r="E25" s="8"/>
      <c r="F25" s="8"/>
      <c r="G25" s="8"/>
      <c r="H25" s="8"/>
      <c r="I25" s="8"/>
      <c r="J25" s="8"/>
      <c r="K25" s="8"/>
      <c r="L25" s="8"/>
      <c r="M25" s="8"/>
      <c r="N25" s="8"/>
    </row>
    <row r="26" spans="2:14" ht="18" customHeight="1" x14ac:dyDescent="0.5">
      <c r="C26" s="9" t="s">
        <v>69</v>
      </c>
      <c r="D26" s="8"/>
      <c r="E26" s="8"/>
      <c r="F26" s="8"/>
      <c r="G26" s="8"/>
      <c r="H26" s="8"/>
      <c r="I26" s="8"/>
      <c r="J26" s="8"/>
      <c r="K26" s="8"/>
      <c r="L26" s="8"/>
      <c r="M26" s="8"/>
      <c r="N26" s="8"/>
    </row>
    <row r="27" spans="2:14" ht="18" customHeight="1" x14ac:dyDescent="0.5">
      <c r="C27" s="9" t="s">
        <v>26</v>
      </c>
      <c r="D27" s="8"/>
      <c r="E27" s="8"/>
      <c r="F27" s="8"/>
      <c r="G27" s="8"/>
      <c r="H27" s="8"/>
      <c r="I27" s="8"/>
      <c r="J27" s="8"/>
      <c r="K27" s="8"/>
      <c r="L27" s="8"/>
      <c r="M27" s="8"/>
      <c r="N27" s="8"/>
    </row>
    <row r="28" spans="2:14" ht="18" customHeight="1" x14ac:dyDescent="0.5">
      <c r="C28" s="33" t="s">
        <v>254</v>
      </c>
      <c r="J28" s="8"/>
      <c r="K28" s="8"/>
      <c r="L28" s="8"/>
      <c r="M28" s="8"/>
      <c r="N28" s="8"/>
    </row>
    <row r="29" spans="2:14" ht="18" customHeight="1" x14ac:dyDescent="0.5">
      <c r="B29" s="10"/>
      <c r="C29" s="33"/>
      <c r="D29" s="33" t="s">
        <v>256</v>
      </c>
      <c r="J29" s="8"/>
      <c r="K29" s="8"/>
      <c r="L29" s="8"/>
      <c r="M29" s="8"/>
      <c r="N29" s="8"/>
    </row>
    <row r="30" spans="2:14" ht="18" customHeight="1" x14ac:dyDescent="0.5">
      <c r="C30" s="9" t="s">
        <v>257</v>
      </c>
      <c r="D30" s="10" t="s">
        <v>258</v>
      </c>
      <c r="E30" s="8"/>
      <c r="F30" s="8"/>
      <c r="G30" s="8"/>
      <c r="H30" s="8"/>
      <c r="I30" s="8"/>
      <c r="J30" s="8"/>
      <c r="K30" s="8"/>
      <c r="L30" s="8"/>
      <c r="M30" s="8"/>
      <c r="N30" s="8"/>
    </row>
    <row r="31" spans="2:14" ht="18" customHeight="1" x14ac:dyDescent="0.5">
      <c r="C31" s="9" t="s">
        <v>259</v>
      </c>
      <c r="D31" s="10" t="s">
        <v>260</v>
      </c>
      <c r="E31" s="8"/>
      <c r="F31" s="8"/>
      <c r="G31" s="8"/>
      <c r="H31" s="8"/>
      <c r="I31" s="8"/>
      <c r="J31" s="8"/>
      <c r="K31" s="8"/>
      <c r="L31" s="8"/>
      <c r="M31" s="8"/>
      <c r="N31" s="8"/>
    </row>
    <row r="32" spans="2:14" ht="18" customHeight="1" x14ac:dyDescent="0.5">
      <c r="C32" s="9" t="s">
        <v>261</v>
      </c>
      <c r="D32" s="10" t="s">
        <v>262</v>
      </c>
      <c r="E32" s="8"/>
      <c r="F32" s="8"/>
      <c r="G32" s="8"/>
      <c r="H32" s="8"/>
      <c r="I32" s="8"/>
      <c r="J32" s="8"/>
      <c r="K32" s="8"/>
      <c r="L32" s="8"/>
      <c r="M32" s="8"/>
      <c r="N32" s="8"/>
    </row>
    <row r="33" spans="2:14" ht="18" customHeight="1" x14ac:dyDescent="0.5">
      <c r="C33" s="9" t="s">
        <v>263</v>
      </c>
      <c r="D33" s="10" t="s">
        <v>264</v>
      </c>
      <c r="E33" s="8"/>
      <c r="F33" s="8"/>
      <c r="G33" s="8"/>
      <c r="H33" s="8"/>
      <c r="I33" s="8"/>
      <c r="J33" s="8"/>
      <c r="K33" s="8"/>
      <c r="L33" s="8"/>
      <c r="M33" s="8"/>
      <c r="N33" s="8"/>
    </row>
    <row r="34" spans="2:14" ht="18" customHeight="1" x14ac:dyDescent="0.5">
      <c r="C34" s="9" t="s">
        <v>265</v>
      </c>
      <c r="D34" s="10" t="s">
        <v>266</v>
      </c>
      <c r="E34" s="8"/>
      <c r="F34" s="8"/>
      <c r="G34" s="8"/>
      <c r="H34" s="8"/>
      <c r="I34" s="8"/>
      <c r="J34" s="8"/>
      <c r="K34" s="8"/>
      <c r="L34" s="8"/>
      <c r="M34" s="8"/>
      <c r="N34" s="8"/>
    </row>
    <row r="35" spans="2:14" ht="18" customHeight="1" x14ac:dyDescent="0.5">
      <c r="B35" s="10"/>
      <c r="C35" s="9" t="s">
        <v>267</v>
      </c>
      <c r="D35" s="10" t="s">
        <v>268</v>
      </c>
      <c r="E35" s="8"/>
      <c r="F35" s="8"/>
      <c r="G35" s="8"/>
      <c r="H35" s="8"/>
      <c r="I35" s="8"/>
      <c r="J35" s="8"/>
      <c r="K35" s="8"/>
      <c r="L35" s="8"/>
      <c r="M35" s="8"/>
      <c r="N35" s="8"/>
    </row>
    <row r="36" spans="2:14" ht="18" customHeight="1" x14ac:dyDescent="0.5">
      <c r="C36" s="33"/>
      <c r="D36" s="33" t="s">
        <v>269</v>
      </c>
      <c r="J36" s="8"/>
      <c r="K36" s="8"/>
      <c r="L36" s="8"/>
      <c r="M36" s="8"/>
      <c r="N36" s="8"/>
    </row>
    <row r="37" spans="2:14" ht="18" customHeight="1" x14ac:dyDescent="0.5">
      <c r="C37" s="33"/>
      <c r="D37" t="s">
        <v>270</v>
      </c>
      <c r="J37" s="8"/>
      <c r="K37" s="8"/>
      <c r="L37" s="8"/>
      <c r="M37" s="8"/>
      <c r="N37" s="8"/>
    </row>
    <row r="38" spans="2:14" ht="18" customHeight="1" x14ac:dyDescent="0.5">
      <c r="C38" s="33"/>
      <c r="D38" t="s">
        <v>271</v>
      </c>
      <c r="J38" s="8"/>
      <c r="K38" s="8"/>
      <c r="L38" s="8"/>
      <c r="M38" s="8"/>
      <c r="N38" s="8"/>
    </row>
    <row r="39" spans="2:14" ht="18" customHeight="1" x14ac:dyDescent="0.5">
      <c r="C39" s="33"/>
      <c r="D39" t="s">
        <v>272</v>
      </c>
      <c r="J39" s="8"/>
      <c r="K39" s="8"/>
      <c r="L39" s="8"/>
      <c r="M39" s="8"/>
      <c r="N39" s="8"/>
    </row>
    <row r="40" spans="2:14" ht="18" customHeight="1" x14ac:dyDescent="0.5">
      <c r="C40" s="9" t="s">
        <v>257</v>
      </c>
      <c r="D40" s="8"/>
      <c r="E40" s="8"/>
      <c r="F40" s="8"/>
      <c r="G40" s="8"/>
      <c r="H40" s="8"/>
      <c r="I40" s="8"/>
      <c r="J40" s="8"/>
      <c r="K40" s="8"/>
      <c r="L40" s="8"/>
      <c r="M40" s="8"/>
      <c r="N40" s="8"/>
    </row>
    <row r="41" spans="2:14" ht="18" customHeight="1" x14ac:dyDescent="0.5">
      <c r="B41" s="10"/>
      <c r="C41" s="9" t="s">
        <v>273</v>
      </c>
      <c r="D41" s="8"/>
      <c r="E41" s="8"/>
      <c r="F41" s="8"/>
      <c r="G41" s="8"/>
      <c r="H41" s="8"/>
      <c r="I41" s="8"/>
      <c r="J41" s="8"/>
      <c r="K41" s="8"/>
      <c r="L41" s="8"/>
      <c r="M41" s="8"/>
      <c r="N41" s="8"/>
    </row>
    <row r="42" spans="2:14" ht="18" customHeight="1" x14ac:dyDescent="0.5">
      <c r="C42" s="9" t="s">
        <v>261</v>
      </c>
      <c r="D42" s="8"/>
      <c r="E42" s="8"/>
      <c r="F42" s="8"/>
      <c r="G42" s="8"/>
      <c r="H42" s="8"/>
      <c r="I42" s="8"/>
      <c r="J42" s="8"/>
      <c r="K42" s="8"/>
      <c r="L42" s="8"/>
      <c r="M42" s="8"/>
      <c r="N42" s="8"/>
    </row>
    <row r="43" spans="2:14" ht="18" customHeight="1" x14ac:dyDescent="0.5">
      <c r="C43" s="9" t="s">
        <v>263</v>
      </c>
      <c r="D43" s="8"/>
      <c r="E43" s="8"/>
      <c r="F43" s="8"/>
      <c r="G43" s="8"/>
      <c r="H43" s="8"/>
      <c r="I43" s="8"/>
      <c r="J43" s="8"/>
      <c r="K43" s="8"/>
      <c r="L43" s="8"/>
      <c r="M43" s="8"/>
      <c r="N43" s="8"/>
    </row>
    <row r="44" spans="2:14" ht="18" customHeight="1" x14ac:dyDescent="0.5">
      <c r="B44" s="10"/>
      <c r="C44" s="9" t="s">
        <v>274</v>
      </c>
      <c r="D44" s="8"/>
      <c r="E44" s="8"/>
      <c r="F44" s="8"/>
      <c r="G44" s="8"/>
      <c r="H44" s="8"/>
      <c r="I44" s="8"/>
      <c r="J44" s="8"/>
      <c r="K44" s="8"/>
      <c r="L44" s="8"/>
      <c r="M44" s="8"/>
      <c r="N44" s="8"/>
    </row>
    <row r="45" spans="2:14" ht="18" customHeight="1" x14ac:dyDescent="0.5">
      <c r="C45" s="9" t="s">
        <v>275</v>
      </c>
      <c r="D45" s="8"/>
      <c r="E45" s="8"/>
      <c r="F45" s="8"/>
      <c r="G45" s="8"/>
      <c r="H45" s="8"/>
      <c r="I45" s="8"/>
      <c r="J45" s="8"/>
      <c r="K45" s="8"/>
      <c r="L45" s="8"/>
      <c r="M45" s="8"/>
      <c r="N45" s="8"/>
    </row>
    <row r="46" spans="2:14" ht="18" customHeight="1" x14ac:dyDescent="0.5">
      <c r="C46" s="9" t="s">
        <v>276</v>
      </c>
      <c r="D46" s="8"/>
      <c r="E46" s="8"/>
      <c r="F46" s="8"/>
      <c r="G46" s="8"/>
      <c r="H46" s="8"/>
      <c r="I46" s="8"/>
      <c r="J46" s="8"/>
      <c r="K46" s="8"/>
      <c r="L46" s="8"/>
      <c r="M46" s="8"/>
      <c r="N46" s="8"/>
    </row>
    <row r="47" spans="2:14" ht="18" customHeight="1" x14ac:dyDescent="0.5">
      <c r="B47" s="10"/>
      <c r="C47" s="9" t="s">
        <v>277</v>
      </c>
      <c r="D47" s="8"/>
      <c r="E47" s="8"/>
      <c r="F47" s="8"/>
      <c r="G47" s="8"/>
      <c r="H47" s="8"/>
      <c r="I47" s="8"/>
      <c r="J47" s="8"/>
      <c r="K47" s="8"/>
      <c r="L47" s="8"/>
      <c r="M47" s="8"/>
      <c r="N47" s="8"/>
    </row>
    <row r="48" spans="2:14" ht="18" customHeight="1" x14ac:dyDescent="0.5">
      <c r="C48" s="9" t="s">
        <v>278</v>
      </c>
      <c r="D48" s="8"/>
      <c r="E48" s="8"/>
      <c r="F48" s="8"/>
      <c r="G48" s="8"/>
      <c r="H48" s="8"/>
      <c r="I48" s="8"/>
      <c r="J48" s="8"/>
      <c r="K48" s="8"/>
      <c r="L48" s="8"/>
      <c r="M48" s="8"/>
      <c r="N48" s="8"/>
    </row>
    <row r="49" spans="3:14" ht="18" customHeight="1" x14ac:dyDescent="0.5">
      <c r="C49" s="9" t="s">
        <v>279</v>
      </c>
      <c r="D49" s="8"/>
      <c r="E49" s="8"/>
      <c r="F49" s="8"/>
      <c r="G49" s="8"/>
      <c r="H49" s="8"/>
      <c r="I49" s="8"/>
      <c r="J49" s="8"/>
      <c r="K49" s="8"/>
      <c r="L49" s="8"/>
      <c r="M49" s="8"/>
      <c r="N49" s="8"/>
    </row>
    <row r="50" spans="3:14" ht="18" customHeight="1" x14ac:dyDescent="0.5">
      <c r="C50" s="9" t="s">
        <v>280</v>
      </c>
      <c r="D50" s="8"/>
      <c r="E50" s="8"/>
      <c r="F50" s="8"/>
      <c r="G50" s="8"/>
      <c r="H50" s="8"/>
      <c r="I50" s="8"/>
      <c r="J50" s="8"/>
      <c r="K50" s="8"/>
      <c r="L50" s="8"/>
      <c r="M50" s="8"/>
      <c r="N50" s="8"/>
    </row>
    <row r="51" spans="3:14" ht="18" customHeight="1" x14ac:dyDescent="0.5">
      <c r="C51" s="9" t="s">
        <v>281</v>
      </c>
      <c r="D51" s="8"/>
      <c r="E51" s="8"/>
      <c r="F51" s="8"/>
      <c r="G51" s="8"/>
      <c r="H51" s="8"/>
      <c r="I51" s="8"/>
      <c r="J51" s="8"/>
      <c r="K51" s="8"/>
      <c r="L51" s="8"/>
      <c r="M51" s="8"/>
      <c r="N51" s="8"/>
    </row>
    <row r="52" spans="3:14" ht="18" customHeight="1" x14ac:dyDescent="0.5">
      <c r="C52" s="37" t="s">
        <v>52</v>
      </c>
      <c r="D52" s="8"/>
      <c r="E52" s="8"/>
      <c r="F52" s="8"/>
      <c r="G52" s="8"/>
      <c r="H52" s="8"/>
      <c r="I52" s="8"/>
    </row>
    <row r="53" spans="3:14" ht="18" customHeight="1" x14ac:dyDescent="0.5">
      <c r="C53" s="9" t="s">
        <v>27</v>
      </c>
      <c r="D53" s="8"/>
      <c r="E53" s="8"/>
      <c r="F53" s="8"/>
      <c r="G53" s="8"/>
      <c r="H53" s="8"/>
      <c r="I53" s="8"/>
    </row>
    <row r="54" spans="3:14" ht="18" customHeight="1" x14ac:dyDescent="0.5">
      <c r="C54" s="9" t="s">
        <v>28</v>
      </c>
      <c r="D54" s="8"/>
      <c r="E54" s="8"/>
      <c r="F54" s="8"/>
      <c r="G54" s="8"/>
      <c r="H54" s="8"/>
      <c r="I54" s="8"/>
    </row>
    <row r="55" spans="3:14" ht="18" customHeight="1" x14ac:dyDescent="0.5">
      <c r="C55" s="9" t="s">
        <v>29</v>
      </c>
      <c r="D55" s="8"/>
      <c r="E55" s="8"/>
      <c r="F55" s="8"/>
      <c r="G55" s="8"/>
      <c r="H55" s="8"/>
      <c r="I55" s="8"/>
    </row>
    <row r="56" spans="3:14" ht="18" customHeight="1" x14ac:dyDescent="0.5">
      <c r="C56" s="9" t="s">
        <v>63</v>
      </c>
      <c r="D56" s="8"/>
      <c r="E56" s="8"/>
      <c r="F56" s="8"/>
      <c r="G56" s="8"/>
      <c r="H56" s="8"/>
      <c r="I56" s="8"/>
    </row>
    <row r="57" spans="3:14" ht="18" customHeight="1" x14ac:dyDescent="0.5">
      <c r="C57" s="9" t="s">
        <v>30</v>
      </c>
      <c r="D57" s="8"/>
      <c r="E57" s="8"/>
      <c r="F57" s="8"/>
      <c r="G57" s="8"/>
      <c r="H57" s="8"/>
      <c r="I57" s="8"/>
    </row>
    <row r="58" spans="3:14" ht="18" customHeight="1" x14ac:dyDescent="0.5">
      <c r="C58" s="37" t="s">
        <v>53</v>
      </c>
      <c r="D58" s="8"/>
      <c r="E58" s="8"/>
      <c r="F58" s="8"/>
      <c r="G58" s="8"/>
      <c r="H58" s="8"/>
      <c r="I58" s="8"/>
    </row>
    <row r="59" spans="3:14" ht="18" customHeight="1" x14ac:dyDescent="0.5">
      <c r="C59" s="9" t="s">
        <v>31</v>
      </c>
      <c r="D59" s="8"/>
      <c r="E59" s="8"/>
      <c r="F59" s="8"/>
      <c r="G59" s="8"/>
      <c r="H59" s="8"/>
      <c r="I59" s="8"/>
    </row>
    <row r="60" spans="3:14" ht="18" customHeight="1" x14ac:dyDescent="0.5">
      <c r="C60" s="9" t="s">
        <v>70</v>
      </c>
      <c r="D60" s="8"/>
      <c r="E60" s="8"/>
      <c r="F60" s="8"/>
      <c r="G60" s="8"/>
      <c r="H60" s="8"/>
      <c r="I60" s="8"/>
    </row>
    <row r="61" spans="3:14" ht="18" customHeight="1" x14ac:dyDescent="0.5">
      <c r="C61" s="9" t="s">
        <v>32</v>
      </c>
      <c r="D61" s="8"/>
      <c r="E61" s="8"/>
      <c r="F61" s="8"/>
      <c r="G61" s="8"/>
      <c r="H61" s="8"/>
      <c r="I61" s="8"/>
    </row>
    <row r="62" spans="3:14" ht="18" customHeight="1" x14ac:dyDescent="0.5">
      <c r="C62" s="9" t="s">
        <v>71</v>
      </c>
      <c r="D62" s="8"/>
      <c r="E62" s="8"/>
      <c r="F62" s="8"/>
      <c r="G62" s="8"/>
      <c r="H62" s="8"/>
      <c r="I62" s="8"/>
    </row>
    <row r="63" spans="3:14" ht="18" customHeight="1" x14ac:dyDescent="0.5">
      <c r="C63" s="9" t="s">
        <v>62</v>
      </c>
      <c r="D63" s="8"/>
      <c r="E63" s="8"/>
      <c r="F63" s="8"/>
      <c r="G63" s="8"/>
      <c r="H63" s="8"/>
      <c r="I63" s="8"/>
    </row>
    <row r="64" spans="3:14" ht="18" customHeight="1" x14ac:dyDescent="0.5">
      <c r="C64" s="37" t="s">
        <v>33</v>
      </c>
      <c r="D64" s="8"/>
      <c r="E64" s="8"/>
      <c r="F64" s="8"/>
      <c r="G64" s="8"/>
      <c r="H64" s="8"/>
      <c r="I64" s="8"/>
    </row>
    <row r="65" spans="3:9" ht="18" customHeight="1" x14ac:dyDescent="0.5">
      <c r="C65" s="9" t="s">
        <v>55</v>
      </c>
      <c r="D65" s="8"/>
      <c r="E65" s="8"/>
      <c r="F65" s="8"/>
      <c r="G65" s="8"/>
      <c r="H65" s="8"/>
      <c r="I65" s="8"/>
    </row>
    <row r="66" spans="3:9" ht="18" customHeight="1" x14ac:dyDescent="0.5">
      <c r="C66" s="9" t="s">
        <v>58</v>
      </c>
      <c r="D66" s="8"/>
      <c r="E66" s="8"/>
      <c r="F66" s="8"/>
      <c r="G66" s="8"/>
      <c r="H66" s="8"/>
      <c r="I66" s="8"/>
    </row>
    <row r="67" spans="3:9" ht="18" customHeight="1" x14ac:dyDescent="0.5">
      <c r="C67" s="37" t="s">
        <v>54</v>
      </c>
      <c r="D67" s="8"/>
      <c r="E67" s="8"/>
      <c r="F67" s="8"/>
      <c r="G67" s="8"/>
      <c r="H67" s="8"/>
      <c r="I67" s="8"/>
    </row>
    <row r="68" spans="3:9" ht="18" customHeight="1" x14ac:dyDescent="0.5">
      <c r="C68" s="9" t="s">
        <v>166</v>
      </c>
      <c r="D68" s="8"/>
      <c r="E68" s="8"/>
      <c r="F68" s="8"/>
      <c r="G68" s="8"/>
      <c r="H68" s="8"/>
      <c r="I68" s="8"/>
    </row>
    <row r="69" spans="3:9" ht="18" customHeight="1" x14ac:dyDescent="0.5">
      <c r="C69" s="9" t="s">
        <v>56</v>
      </c>
      <c r="D69" s="8"/>
      <c r="E69" s="8"/>
      <c r="F69" s="8"/>
      <c r="G69" s="8"/>
      <c r="H69" s="8"/>
      <c r="I69" s="8"/>
    </row>
    <row r="70" spans="3:9" ht="18" customHeight="1" x14ac:dyDescent="0.5">
      <c r="C70" s="37" t="s">
        <v>57</v>
      </c>
      <c r="D70" s="8"/>
      <c r="E70" s="8"/>
      <c r="F70" s="8"/>
      <c r="G70" s="8"/>
      <c r="H70" s="8"/>
      <c r="I70" s="8"/>
    </row>
    <row r="71" spans="3:9" ht="18" customHeight="1" x14ac:dyDescent="0.5">
      <c r="C71" s="9" t="s">
        <v>59</v>
      </c>
      <c r="D71" s="8"/>
      <c r="E71" s="8"/>
      <c r="F71" s="8"/>
      <c r="G71" s="8"/>
      <c r="H71" s="8"/>
      <c r="I71" s="8"/>
    </row>
    <row r="72" spans="3:9" ht="18" customHeight="1" x14ac:dyDescent="0.5">
      <c r="C72" s="9" t="s">
        <v>60</v>
      </c>
      <c r="D72" s="8"/>
      <c r="E72" s="8"/>
      <c r="F72" s="8"/>
      <c r="G72" s="8"/>
      <c r="H72" s="8"/>
      <c r="I72" s="8"/>
    </row>
    <row r="73" spans="3:9" ht="18" customHeight="1" x14ac:dyDescent="0.5">
      <c r="C73" s="9" t="s">
        <v>61</v>
      </c>
      <c r="D73" s="8"/>
      <c r="E73" s="8"/>
      <c r="F73" s="8"/>
      <c r="G73" s="8"/>
      <c r="H73" s="8"/>
      <c r="I73" s="8"/>
    </row>
    <row r="74" spans="3:9" ht="18" customHeight="1" x14ac:dyDescent="0.5">
      <c r="C74" s="9"/>
      <c r="D74" s="8"/>
      <c r="E74" s="8"/>
      <c r="F74" s="8"/>
      <c r="G74" s="8"/>
      <c r="H74" s="8"/>
      <c r="I74" s="8"/>
    </row>
    <row r="75" spans="3:9" ht="18" customHeight="1" x14ac:dyDescent="0.5">
      <c r="C75" s="8"/>
      <c r="D75" s="8"/>
      <c r="E75" s="8"/>
      <c r="F75" s="8"/>
      <c r="G75" s="8"/>
      <c r="H75" s="8"/>
      <c r="I75" s="8"/>
    </row>
    <row r="76" spans="3:9" ht="18" customHeight="1" x14ac:dyDescent="0.5">
      <c r="C76" s="8"/>
      <c r="D76" s="8"/>
      <c r="E76" s="8"/>
      <c r="F76" s="8"/>
      <c r="G76" s="8"/>
      <c r="H76" s="8"/>
      <c r="I76" s="8"/>
    </row>
  </sheetData>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K50"/>
  <sheetViews>
    <sheetView showGridLines="0" topLeftCell="B1" workbookViewId="0">
      <selection activeCell="K23" sqref="K23"/>
    </sheetView>
  </sheetViews>
  <sheetFormatPr defaultColWidth="9.1171875" defaultRowHeight="18" customHeight="1" x14ac:dyDescent="0.5"/>
  <cols>
    <col min="1" max="1" width="9.1171875" style="1"/>
    <col min="2" max="2" width="43" style="1" customWidth="1"/>
    <col min="3" max="3" width="20.41015625" style="1" customWidth="1"/>
    <col min="4" max="4" width="15.87890625" style="54" customWidth="1"/>
    <col min="5" max="5" width="2.703125" style="54" customWidth="1"/>
    <col min="6" max="6" width="17.703125" style="54" customWidth="1"/>
    <col min="7" max="7" width="2.703125" style="54" customWidth="1"/>
    <col min="8" max="8" width="15.87890625" style="54" customWidth="1"/>
    <col min="9" max="9" width="2.703125" style="54" customWidth="1"/>
    <col min="10" max="10" width="15.29296875" style="54" customWidth="1"/>
    <col min="11" max="11" width="10.703125" style="1" bestFit="1" customWidth="1"/>
    <col min="12" max="16384" width="9.1171875" style="1"/>
  </cols>
  <sheetData>
    <row r="4" spans="2:10" customFormat="1" ht="18" customHeight="1" x14ac:dyDescent="0.7">
      <c r="B4" s="101" t="s">
        <v>47</v>
      </c>
    </row>
    <row r="6" spans="2:10" ht="18" customHeight="1" x14ac:dyDescent="0.5">
      <c r="B6" s="5" t="s">
        <v>10</v>
      </c>
      <c r="C6" s="5"/>
      <c r="D6" s="52"/>
      <c r="E6" s="28"/>
      <c r="F6" s="52"/>
      <c r="G6" s="28"/>
      <c r="H6" s="28"/>
      <c r="I6" s="28"/>
      <c r="J6" s="28"/>
    </row>
    <row r="7" spans="2:10" s="24" customFormat="1" ht="18" customHeight="1" x14ac:dyDescent="0.5">
      <c r="B7" s="48" t="s">
        <v>11</v>
      </c>
      <c r="C7" s="50" t="s">
        <v>157</v>
      </c>
      <c r="D7" s="50" t="s">
        <v>12</v>
      </c>
      <c r="E7" s="50"/>
      <c r="F7" s="50" t="s">
        <v>13</v>
      </c>
      <c r="G7" s="50"/>
      <c r="H7" s="50" t="s">
        <v>21</v>
      </c>
      <c r="I7" s="50"/>
      <c r="J7" s="50" t="s">
        <v>1</v>
      </c>
    </row>
    <row r="8" spans="2:10" s="24" customFormat="1" ht="18" customHeight="1" x14ac:dyDescent="0.5">
      <c r="B8" s="10" t="s">
        <v>48</v>
      </c>
      <c r="C8" s="114" t="s">
        <v>73</v>
      </c>
      <c r="D8" s="52">
        <f>IF(C8="INCLUDE",Productivity!H34,0)</f>
        <v>330000</v>
      </c>
      <c r="E8" s="28"/>
      <c r="F8" s="52">
        <f>IF(C8="INCLUDE",Productivity!H34,0)</f>
        <v>330000</v>
      </c>
      <c r="G8" s="28"/>
      <c r="H8" s="52">
        <f>IF(C8="INCLUDE",Productivity!H34,0)</f>
        <v>330000</v>
      </c>
      <c r="I8" s="52"/>
      <c r="J8" s="52">
        <f t="shared" ref="J8:J9" si="0">SUM(D8:H8)</f>
        <v>990000</v>
      </c>
    </row>
    <row r="9" spans="2:10" s="24" customFormat="1" ht="18" customHeight="1" x14ac:dyDescent="0.5">
      <c r="B9" s="10" t="s">
        <v>254</v>
      </c>
      <c r="C9" s="114" t="s">
        <v>73</v>
      </c>
      <c r="D9" s="52">
        <f>IF(C9="INCLUDE",'Test Productivity'!E65,0)</f>
        <v>310576.92307692312</v>
      </c>
      <c r="E9" s="28"/>
      <c r="F9" s="52">
        <f>IF(C9="INCLUDE",'Test Productivity'!G65,0)</f>
        <v>425000</v>
      </c>
      <c r="G9" s="28"/>
      <c r="H9" s="52">
        <f>IF(C9="INCLUDE",'Test Productivity'!I65,0)</f>
        <v>425000</v>
      </c>
      <c r="I9" s="52"/>
      <c r="J9" s="52">
        <f t="shared" si="0"/>
        <v>1160576.923076923</v>
      </c>
    </row>
    <row r="10" spans="2:10" s="24" customFormat="1" ht="18" customHeight="1" x14ac:dyDescent="0.5">
      <c r="B10" s="10" t="s">
        <v>52</v>
      </c>
      <c r="C10" s="114" t="s">
        <v>73</v>
      </c>
      <c r="D10" s="52">
        <f>IF(C10="INCLUDE",Utilization!F25,0)</f>
        <v>172500</v>
      </c>
      <c r="E10" s="28"/>
      <c r="F10" s="52">
        <f>IF(C10="INCLUDE",Utilization!H25,0)</f>
        <v>301875</v>
      </c>
      <c r="G10" s="28"/>
      <c r="H10" s="52">
        <f>IF(C10="INCLUDE",Utilization!J25,0)</f>
        <v>443756.25</v>
      </c>
      <c r="I10" s="52"/>
      <c r="J10" s="52">
        <f t="shared" ref="J8:J14" si="1">SUM(D10:H10)</f>
        <v>918131.25</v>
      </c>
    </row>
    <row r="11" spans="2:10" s="24" customFormat="1" ht="18" customHeight="1" x14ac:dyDescent="0.5">
      <c r="B11" s="10" t="s">
        <v>53</v>
      </c>
      <c r="C11" s="114" t="s">
        <v>73</v>
      </c>
      <c r="D11" s="52">
        <f>IF(C11="INCLUDE",'Operational Expenses'!D21,0)</f>
        <v>18000</v>
      </c>
      <c r="E11" s="28"/>
      <c r="F11" s="52">
        <f>IF(C11="INCLUDE",'Operational Expenses'!D21,0)</f>
        <v>18000</v>
      </c>
      <c r="G11" s="28"/>
      <c r="H11" s="52">
        <f>IF(C11="INCLUDE",'Operational Expenses'!D21,0)</f>
        <v>18000</v>
      </c>
      <c r="I11" s="52"/>
      <c r="J11" s="52">
        <f t="shared" si="1"/>
        <v>54000</v>
      </c>
    </row>
    <row r="12" spans="2:10" s="24" customFormat="1" ht="18" customHeight="1" x14ac:dyDescent="0.5">
      <c r="B12" s="10" t="s">
        <v>152</v>
      </c>
      <c r="C12" s="114" t="s">
        <v>73</v>
      </c>
      <c r="D12" s="52">
        <f>IF(C12="INCLUDE",'Time to Market'!D43,0)</f>
        <v>70724.571428571435</v>
      </c>
      <c r="E12" s="28"/>
      <c r="F12" s="52">
        <f>IF(C12="INCLUDE",'Time to Market'!D43,0)</f>
        <v>70724.571428571435</v>
      </c>
      <c r="G12" s="28"/>
      <c r="H12" s="52">
        <f>IF(C12="INCLUDE",'Time to Market'!D43,0)</f>
        <v>70724.571428571435</v>
      </c>
      <c r="I12" s="52"/>
      <c r="J12" s="52">
        <f t="shared" si="1"/>
        <v>212173.71428571432</v>
      </c>
    </row>
    <row r="13" spans="2:10" s="24" customFormat="1" ht="18" customHeight="1" x14ac:dyDescent="0.5">
      <c r="B13" s="10" t="s">
        <v>153</v>
      </c>
      <c r="C13" s="114" t="s">
        <v>73</v>
      </c>
      <c r="D13" s="52">
        <f>IF(C13="INCLUDE",'Network Down Time'!D21,0)</f>
        <v>150388.30125000002</v>
      </c>
      <c r="E13" s="28"/>
      <c r="F13" s="52">
        <f>IF(C13="INCLUDE",'Network Down Time'!D21,0)</f>
        <v>150388.30125000002</v>
      </c>
      <c r="G13" s="28"/>
      <c r="H13" s="52">
        <f>IF(C13="INCLUDE",'Network Down Time'!D21,0)</f>
        <v>150388.30125000002</v>
      </c>
      <c r="I13" s="52"/>
      <c r="J13" s="52">
        <f t="shared" si="1"/>
        <v>451164.90375000006</v>
      </c>
    </row>
    <row r="14" spans="2:10" s="24" customFormat="1" ht="18" customHeight="1" x14ac:dyDescent="0.5">
      <c r="B14" s="10" t="s">
        <v>154</v>
      </c>
      <c r="C14" s="114" t="s">
        <v>73</v>
      </c>
      <c r="D14" s="52">
        <f>IF(C14="INCLUDE",Collaboration!D28,0)</f>
        <v>1442.3076923076924</v>
      </c>
      <c r="E14" s="28"/>
      <c r="F14" s="52">
        <f>IF(C14="INCLUDE",Collaboration!D28,0)</f>
        <v>1442.3076923076924</v>
      </c>
      <c r="G14" s="28"/>
      <c r="H14" s="52">
        <f>IF(C14="INCLUDE",Collaboration!D28,0)</f>
        <v>1442.3076923076924</v>
      </c>
      <c r="I14" s="52"/>
      <c r="J14" s="52">
        <f t="shared" si="1"/>
        <v>4326.9230769230771</v>
      </c>
    </row>
    <row r="15" spans="2:10" s="24" customFormat="1" ht="18" customHeight="1" x14ac:dyDescent="0.5">
      <c r="B15" s="64" t="s">
        <v>14</v>
      </c>
      <c r="C15" s="88"/>
      <c r="D15" s="65">
        <f>SUM(D8:D14)</f>
        <v>1053632.1034478024</v>
      </c>
      <c r="E15" s="66"/>
      <c r="F15" s="65">
        <f>SUM(F8:F14)</f>
        <v>1297430.1803708791</v>
      </c>
      <c r="G15" s="65"/>
      <c r="H15" s="65">
        <f>SUM(H8:H14)</f>
        <v>1439311.4303708791</v>
      </c>
      <c r="I15" s="65"/>
      <c r="J15" s="65">
        <f>SUM(J8:J14)</f>
        <v>3790373.7141895606</v>
      </c>
    </row>
    <row r="16" spans="2:10" s="24" customFormat="1" ht="18" customHeight="1" x14ac:dyDescent="0.5">
      <c r="B16" s="6"/>
      <c r="C16" s="6"/>
      <c r="D16" s="28"/>
      <c r="E16" s="28"/>
      <c r="F16" s="28"/>
      <c r="G16" s="28"/>
      <c r="H16" s="28"/>
      <c r="I16" s="28"/>
      <c r="J16" s="28"/>
    </row>
    <row r="17" spans="2:11" s="24" customFormat="1" ht="18" customHeight="1" x14ac:dyDescent="0.5">
      <c r="B17" s="48" t="s">
        <v>16</v>
      </c>
      <c r="C17" s="48"/>
      <c r="D17" s="50" t="s">
        <v>12</v>
      </c>
      <c r="E17" s="50"/>
      <c r="F17" s="50" t="s">
        <v>13</v>
      </c>
      <c r="G17" s="50"/>
      <c r="H17" s="50" t="s">
        <v>21</v>
      </c>
      <c r="I17" s="50"/>
      <c r="J17" s="50" t="s">
        <v>1</v>
      </c>
    </row>
    <row r="18" spans="2:11" s="24" customFormat="1" ht="18" customHeight="1" x14ac:dyDescent="0.5">
      <c r="B18" s="10" t="s">
        <v>156</v>
      </c>
      <c r="C18" s="10"/>
      <c r="D18" s="52">
        <f>Investment!D7</f>
        <v>198648</v>
      </c>
      <c r="E18" s="28"/>
      <c r="F18" s="52">
        <f>Investment!F7</f>
        <v>198648</v>
      </c>
      <c r="G18" s="28"/>
      <c r="H18" s="52">
        <f>Investment!H7</f>
        <v>198648</v>
      </c>
      <c r="I18" s="52"/>
      <c r="J18" s="52">
        <f>SUM(D18:H18)</f>
        <v>595944</v>
      </c>
    </row>
    <row r="19" spans="2:11" s="24" customFormat="1" ht="18" customHeight="1" x14ac:dyDescent="0.5">
      <c r="B19" s="6" t="s">
        <v>7</v>
      </c>
      <c r="C19" s="6"/>
      <c r="D19" s="52">
        <f>Investment!D8</f>
        <v>23000</v>
      </c>
      <c r="E19" s="28"/>
      <c r="F19" s="52">
        <f>Investment!F8</f>
        <v>0</v>
      </c>
      <c r="G19" s="28"/>
      <c r="H19" s="52">
        <f>Investment!H8</f>
        <v>0</v>
      </c>
      <c r="I19" s="52"/>
      <c r="J19" s="52">
        <f>SUM(D19:H19)</f>
        <v>23000</v>
      </c>
    </row>
    <row r="20" spans="2:11" s="24" customFormat="1" ht="18" customHeight="1" x14ac:dyDescent="0.5">
      <c r="B20" s="6" t="s">
        <v>8</v>
      </c>
      <c r="C20" s="6"/>
      <c r="D20" s="52">
        <f>Investment!D9</f>
        <v>52500</v>
      </c>
      <c r="E20" s="28"/>
      <c r="F20" s="52">
        <f>Investment!F9</f>
        <v>0</v>
      </c>
      <c r="G20" s="28"/>
      <c r="H20" s="52">
        <f>Investment!H9</f>
        <v>0</v>
      </c>
      <c r="I20" s="52"/>
      <c r="J20" s="52">
        <f>SUM(D20:H20)</f>
        <v>52500</v>
      </c>
    </row>
    <row r="21" spans="2:11" s="24" customFormat="1" ht="18" customHeight="1" x14ac:dyDescent="0.5">
      <c r="B21" s="10" t="s">
        <v>155</v>
      </c>
      <c r="C21" s="10"/>
      <c r="D21" s="85">
        <f>Investment!D18</f>
        <v>50384.615384615383</v>
      </c>
      <c r="E21" s="28"/>
      <c r="F21" s="85">
        <f>Investment!F17</f>
        <v>10000</v>
      </c>
      <c r="G21" s="28"/>
      <c r="H21" s="85">
        <f>Investment!H18</f>
        <v>10000</v>
      </c>
      <c r="I21" s="85"/>
      <c r="J21" s="52">
        <f>SUM(D21:H21)</f>
        <v>70384.615384615376</v>
      </c>
    </row>
    <row r="22" spans="2:11" s="24" customFormat="1" ht="18" customHeight="1" x14ac:dyDescent="0.5">
      <c r="B22" s="64" t="s">
        <v>158</v>
      </c>
      <c r="C22" s="88"/>
      <c r="D22" s="65">
        <f>SUM(D18:D21)</f>
        <v>324532.61538461538</v>
      </c>
      <c r="E22" s="66"/>
      <c r="F22" s="65">
        <f>SUM(F18:F21)</f>
        <v>208648</v>
      </c>
      <c r="G22" s="65"/>
      <c r="H22" s="65">
        <f>SUM(H18:H21)</f>
        <v>208648</v>
      </c>
      <c r="I22" s="65"/>
      <c r="J22" s="65">
        <f>SUM(J18:J21)</f>
        <v>741828.61538461538</v>
      </c>
      <c r="K22" s="168">
        <f>J22/3</f>
        <v>247276.20512820513</v>
      </c>
    </row>
    <row r="23" spans="2:11" s="24" customFormat="1" ht="18" customHeight="1" x14ac:dyDescent="0.5">
      <c r="B23" s="6"/>
      <c r="C23" s="6"/>
      <c r="D23" s="28"/>
      <c r="E23" s="28"/>
      <c r="F23" s="94"/>
      <c r="G23" s="28"/>
      <c r="H23" s="28"/>
      <c r="I23" s="28"/>
      <c r="J23" s="28"/>
    </row>
    <row r="24" spans="2:11" s="24" customFormat="1" ht="18" customHeight="1" x14ac:dyDescent="0.5">
      <c r="B24" s="102" t="s">
        <v>17</v>
      </c>
      <c r="C24" s="92"/>
      <c r="D24" s="95"/>
      <c r="E24" s="95"/>
      <c r="F24" s="95"/>
      <c r="G24" s="95"/>
      <c r="H24" s="95"/>
      <c r="I24" s="95"/>
      <c r="J24" s="95"/>
    </row>
    <row r="25" spans="2:11" s="24" customFormat="1" ht="18" customHeight="1" x14ac:dyDescent="0.5">
      <c r="B25" s="93" t="s">
        <v>18</v>
      </c>
      <c r="C25" s="93"/>
      <c r="D25" s="96">
        <f>D15/D22</f>
        <v>3.2466139102817286</v>
      </c>
      <c r="E25" s="97"/>
      <c r="F25" s="96">
        <f>F15/F22</f>
        <v>6.2182727865633947</v>
      </c>
      <c r="G25" s="97"/>
      <c r="H25" s="96">
        <f>H15/H22</f>
        <v>6.8982757101476126</v>
      </c>
      <c r="I25" s="97"/>
      <c r="J25" s="96">
        <f>J15/J22</f>
        <v>5.1095005444409392</v>
      </c>
    </row>
    <row r="26" spans="2:11" s="24" customFormat="1" ht="18" customHeight="1" x14ac:dyDescent="0.5">
      <c r="B26" s="93" t="s">
        <v>159</v>
      </c>
      <c r="C26" s="93"/>
      <c r="D26" s="98">
        <f>D22/D15*12</f>
        <v>3.6961586229878156</v>
      </c>
      <c r="E26" s="97"/>
      <c r="F26" s="97"/>
      <c r="G26" s="97"/>
      <c r="H26" s="97"/>
      <c r="I26" s="97"/>
      <c r="J26" s="97"/>
    </row>
    <row r="27" spans="2:11" s="24" customFormat="1" ht="18" customHeight="1" x14ac:dyDescent="0.5">
      <c r="B27" s="93" t="s">
        <v>19</v>
      </c>
      <c r="C27" s="93"/>
      <c r="D27" s="99">
        <f>(J15-J22)</f>
        <v>3048545.0988049451</v>
      </c>
      <c r="E27" s="97"/>
      <c r="F27" s="97"/>
      <c r="G27" s="97"/>
      <c r="H27" s="97"/>
      <c r="I27" s="97"/>
      <c r="J27" s="97"/>
    </row>
    <row r="28" spans="2:11" s="24" customFormat="1" ht="18" customHeight="1" x14ac:dyDescent="0.5">
      <c r="B28" s="93" t="s">
        <v>20</v>
      </c>
      <c r="C28" s="93"/>
      <c r="D28" s="96">
        <f>J15/J22</f>
        <v>5.1095005444409392</v>
      </c>
      <c r="E28" s="97"/>
      <c r="F28" s="97"/>
      <c r="G28" s="97"/>
      <c r="H28" s="97"/>
      <c r="I28" s="97"/>
      <c r="J28" s="97"/>
    </row>
    <row r="29" spans="2:11" ht="18" customHeight="1" x14ac:dyDescent="0.5">
      <c r="B29" s="4"/>
      <c r="C29" s="4"/>
      <c r="D29" s="28"/>
      <c r="E29" s="28"/>
      <c r="F29" s="28"/>
      <c r="G29" s="28"/>
      <c r="H29" s="28"/>
      <c r="I29" s="28"/>
      <c r="J29" s="28"/>
    </row>
    <row r="30" spans="2:11" ht="18" customHeight="1" x14ac:dyDescent="0.5">
      <c r="B30" s="5" t="s">
        <v>160</v>
      </c>
      <c r="C30" s="5"/>
      <c r="D30" s="52"/>
      <c r="E30" s="28"/>
      <c r="F30" s="52"/>
      <c r="G30" s="28"/>
      <c r="H30" s="28"/>
      <c r="I30" s="28"/>
      <c r="J30" s="28"/>
    </row>
    <row r="50" spans="2:2" ht="18" customHeight="1" x14ac:dyDescent="0.5">
      <c r="B50" s="5" t="s">
        <v>283</v>
      </c>
    </row>
  </sheetData>
  <dataValidations count="1">
    <dataValidation type="list" allowBlank="1" showInputMessage="1" showErrorMessage="1" sqref="C8:C14" xr:uid="{00000000-0002-0000-0800-000000000000}">
      <formula1>"INCLUDE,EXCLUDE"</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H34"/>
  <sheetViews>
    <sheetView showGridLines="0" topLeftCell="A7" zoomScale="130" zoomScaleNormal="130" workbookViewId="0">
      <selection activeCell="B42" sqref="B42"/>
    </sheetView>
  </sheetViews>
  <sheetFormatPr defaultColWidth="9.1171875" defaultRowHeight="18" customHeight="1" x14ac:dyDescent="0.5"/>
  <cols>
    <col min="1" max="1" width="5.29296875" style="1" customWidth="1"/>
    <col min="2" max="2" width="64.703125" style="1" customWidth="1"/>
    <col min="3" max="3" width="0.1171875" style="1" customWidth="1"/>
    <col min="4" max="4" width="11.17578125" style="1" customWidth="1"/>
    <col min="5" max="5" width="8.234375" style="1" hidden="1" customWidth="1"/>
    <col min="6" max="6" width="10.703125" style="1" customWidth="1"/>
    <col min="7" max="7" width="2.703125" style="1" hidden="1" customWidth="1"/>
    <col min="8" max="8" width="12.5859375" style="1" customWidth="1"/>
    <col min="9" max="9" width="13" style="1" customWidth="1"/>
    <col min="10" max="16384" width="9.1171875" style="1"/>
  </cols>
  <sheetData>
    <row r="1" spans="2:8" ht="18" customHeight="1" x14ac:dyDescent="0.6">
      <c r="B1" s="38" t="s">
        <v>72</v>
      </c>
    </row>
    <row r="2" spans="2:8" ht="18" customHeight="1" x14ac:dyDescent="0.5">
      <c r="B2" s="21" t="s">
        <v>177</v>
      </c>
    </row>
    <row r="3" spans="2:8" ht="18" customHeight="1" x14ac:dyDescent="0.5">
      <c r="B3" s="118" t="s">
        <v>176</v>
      </c>
    </row>
    <row r="4" spans="2:8" ht="18" customHeight="1" x14ac:dyDescent="0.5">
      <c r="B4" s="4"/>
      <c r="C4" s="4"/>
      <c r="D4" s="4"/>
      <c r="E4" s="4"/>
      <c r="F4" s="4"/>
      <c r="G4" s="4"/>
      <c r="H4" s="4"/>
    </row>
    <row r="5" spans="2:8" ht="18" customHeight="1" x14ac:dyDescent="0.5">
      <c r="B5" s="5" t="s">
        <v>93</v>
      </c>
      <c r="C5" s="5"/>
      <c r="D5" s="4"/>
      <c r="E5" s="4"/>
      <c r="G5" s="4"/>
      <c r="H5" s="4"/>
    </row>
    <row r="6" spans="2:8" ht="18" customHeight="1" x14ac:dyDescent="0.5">
      <c r="B6" s="8" t="s">
        <v>49</v>
      </c>
      <c r="C6" s="11"/>
      <c r="D6" s="103">
        <v>10</v>
      </c>
      <c r="E6" s="11"/>
      <c r="F6" s="11"/>
      <c r="G6" s="11"/>
      <c r="H6" s="11"/>
    </row>
    <row r="7" spans="2:8" ht="18" customHeight="1" x14ac:dyDescent="0.5">
      <c r="B7" s="8" t="s">
        <v>82</v>
      </c>
      <c r="C7" s="11"/>
      <c r="D7" s="103">
        <v>1</v>
      </c>
      <c r="E7" s="11"/>
      <c r="F7" s="11"/>
      <c r="G7" s="11"/>
      <c r="H7" s="11"/>
    </row>
    <row r="8" spans="2:8" ht="18" customHeight="1" x14ac:dyDescent="0.5">
      <c r="B8" s="8" t="s">
        <v>4</v>
      </c>
      <c r="C8" s="11"/>
      <c r="D8" s="104">
        <v>150000</v>
      </c>
      <c r="E8" s="11"/>
      <c r="F8" s="11"/>
      <c r="G8" s="11"/>
      <c r="H8" s="11"/>
    </row>
    <row r="9" spans="2:8" ht="18" customHeight="1" x14ac:dyDescent="0.5">
      <c r="B9" s="8" t="s">
        <v>50</v>
      </c>
      <c r="C9" s="11"/>
      <c r="D9" s="104">
        <v>200000</v>
      </c>
      <c r="E9" s="11"/>
      <c r="F9" s="11"/>
      <c r="G9" s="11"/>
      <c r="H9" s="11"/>
    </row>
    <row r="10" spans="2:8" ht="18" customHeight="1" x14ac:dyDescent="0.5">
      <c r="B10" s="4"/>
      <c r="C10" s="11"/>
      <c r="D10" s="12"/>
      <c r="E10" s="11"/>
      <c r="F10" s="12"/>
      <c r="G10" s="11"/>
      <c r="H10" s="11"/>
    </row>
    <row r="11" spans="2:8" ht="18" customHeight="1" x14ac:dyDescent="0.5">
      <c r="B11" s="5" t="s">
        <v>81</v>
      </c>
      <c r="C11" s="13"/>
      <c r="D11" s="39"/>
      <c r="E11" s="11"/>
      <c r="F11" s="39"/>
      <c r="G11" s="11"/>
      <c r="H11" s="11"/>
    </row>
    <row r="12" spans="2:8" s="24" customFormat="1" ht="19.7" customHeight="1" x14ac:dyDescent="0.5">
      <c r="B12" s="48" t="s">
        <v>74</v>
      </c>
      <c r="C12" s="49"/>
      <c r="D12" s="50" t="s">
        <v>9</v>
      </c>
      <c r="E12" s="49"/>
      <c r="F12" s="166" t="s">
        <v>184</v>
      </c>
      <c r="G12" s="49"/>
      <c r="H12" s="166" t="s">
        <v>122</v>
      </c>
    </row>
    <row r="13" spans="2:8" ht="18" customHeight="1" x14ac:dyDescent="0.5">
      <c r="B13" s="10" t="s">
        <v>79</v>
      </c>
      <c r="C13" s="11"/>
      <c r="D13" s="105">
        <v>1</v>
      </c>
      <c r="E13" s="41"/>
      <c r="F13" s="105">
        <v>0.3</v>
      </c>
      <c r="G13" s="11"/>
      <c r="H13" s="73">
        <f>(D13-F13)/D13</f>
        <v>0.7</v>
      </c>
    </row>
    <row r="14" spans="2:8" ht="18" customHeight="1" x14ac:dyDescent="0.5">
      <c r="B14" s="10" t="s">
        <v>89</v>
      </c>
      <c r="C14" s="11"/>
      <c r="D14" s="105">
        <v>2</v>
      </c>
      <c r="E14" s="41"/>
      <c r="F14" s="105">
        <v>0.05</v>
      </c>
      <c r="G14" s="11"/>
      <c r="H14" s="73">
        <f t="shared" ref="H14:H20" si="0">(D14-F14)/D14</f>
        <v>0.97499999999999998</v>
      </c>
    </row>
    <row r="15" spans="2:8" ht="18" customHeight="1" x14ac:dyDescent="0.5">
      <c r="B15" s="10" t="s">
        <v>80</v>
      </c>
      <c r="C15" s="11"/>
      <c r="D15" s="105">
        <v>1.25</v>
      </c>
      <c r="E15" s="41"/>
      <c r="F15" s="105">
        <v>0.05</v>
      </c>
      <c r="G15" s="11"/>
      <c r="H15" s="73">
        <f t="shared" si="0"/>
        <v>0.96</v>
      </c>
    </row>
    <row r="16" spans="2:8" ht="18" customHeight="1" x14ac:dyDescent="0.5">
      <c r="B16" s="10" t="s">
        <v>88</v>
      </c>
      <c r="C16" s="11"/>
      <c r="D16" s="105">
        <v>1</v>
      </c>
      <c r="E16" s="41"/>
      <c r="F16" s="105">
        <v>0.01</v>
      </c>
      <c r="G16" s="11"/>
      <c r="H16" s="73">
        <f t="shared" si="0"/>
        <v>0.99</v>
      </c>
    </row>
    <row r="17" spans="2:8" ht="18" customHeight="1" x14ac:dyDescent="0.5">
      <c r="B17" s="6" t="s">
        <v>6</v>
      </c>
      <c r="C17" s="11"/>
      <c r="D17" s="105">
        <v>0.5</v>
      </c>
      <c r="E17" s="41"/>
      <c r="F17" s="105">
        <v>0.5</v>
      </c>
      <c r="G17" s="11"/>
      <c r="H17" s="73">
        <f t="shared" si="0"/>
        <v>0</v>
      </c>
    </row>
    <row r="18" spans="2:8" ht="18" customHeight="1" x14ac:dyDescent="0.5">
      <c r="B18" s="10" t="s">
        <v>90</v>
      </c>
      <c r="C18" s="11"/>
      <c r="D18" s="105">
        <v>2</v>
      </c>
      <c r="E18" s="41"/>
      <c r="F18" s="105">
        <v>0.1</v>
      </c>
      <c r="G18" s="11"/>
      <c r="H18" s="73">
        <f t="shared" si="0"/>
        <v>0.95</v>
      </c>
    </row>
    <row r="19" spans="2:8" ht="18" customHeight="1" x14ac:dyDescent="0.5">
      <c r="B19" s="6" t="s">
        <v>2</v>
      </c>
      <c r="C19" s="11"/>
      <c r="D19" s="105">
        <v>1</v>
      </c>
      <c r="E19" s="41"/>
      <c r="F19" s="105">
        <v>0.1</v>
      </c>
      <c r="G19" s="11"/>
      <c r="H19" s="73">
        <f t="shared" si="0"/>
        <v>0.9</v>
      </c>
    </row>
    <row r="20" spans="2:8" ht="18" customHeight="1" x14ac:dyDescent="0.5">
      <c r="B20" s="40" t="s">
        <v>91</v>
      </c>
      <c r="C20" s="11"/>
      <c r="D20" s="42">
        <f>SUM(D13:D19)</f>
        <v>8.75</v>
      </c>
      <c r="E20" s="41"/>
      <c r="F20" s="42">
        <f>SUM(F13:F19)</f>
        <v>1.1100000000000001</v>
      </c>
      <c r="G20" s="11"/>
      <c r="H20" s="73">
        <f t="shared" si="0"/>
        <v>0.87314285714285711</v>
      </c>
    </row>
    <row r="21" spans="2:8" ht="18" customHeight="1" x14ac:dyDescent="0.5">
      <c r="B21" s="44" t="s">
        <v>92</v>
      </c>
      <c r="C21" s="45"/>
      <c r="D21" s="46">
        <f>D20*52</f>
        <v>455</v>
      </c>
      <c r="E21" s="47"/>
      <c r="F21" s="46">
        <f>F20*52</f>
        <v>57.720000000000006</v>
      </c>
      <c r="G21" s="45"/>
      <c r="H21" s="74">
        <f>(D21-F21)/D21</f>
        <v>0.87314285714285711</v>
      </c>
    </row>
    <row r="22" spans="2:8" s="4" customFormat="1" ht="18" customHeight="1" x14ac:dyDescent="0.5">
      <c r="B22" s="40"/>
      <c r="C22" s="11"/>
      <c r="D22" s="42"/>
      <c r="E22" s="41"/>
      <c r="F22" s="42"/>
      <c r="G22" s="11"/>
      <c r="H22" s="11"/>
    </row>
    <row r="23" spans="2:8" ht="18" customHeight="1" x14ac:dyDescent="0.5">
      <c r="B23" s="2" t="s">
        <v>75</v>
      </c>
      <c r="C23" s="14"/>
      <c r="D23" s="43"/>
      <c r="E23" s="43"/>
      <c r="F23" s="43"/>
      <c r="G23" s="14"/>
      <c r="H23" s="14"/>
    </row>
    <row r="24" spans="2:8" ht="18" customHeight="1" x14ac:dyDescent="0.5">
      <c r="B24" s="21" t="s">
        <v>76</v>
      </c>
      <c r="C24" s="15"/>
      <c r="D24" s="105">
        <v>4</v>
      </c>
      <c r="E24" s="41"/>
      <c r="F24" s="106">
        <v>0.1</v>
      </c>
      <c r="G24" s="11"/>
      <c r="H24" s="11"/>
    </row>
    <row r="25" spans="2:8" ht="18" customHeight="1" x14ac:dyDescent="0.5">
      <c r="B25" s="21" t="s">
        <v>77</v>
      </c>
      <c r="C25" s="15"/>
      <c r="D25" s="105">
        <v>4</v>
      </c>
      <c r="E25" s="41"/>
      <c r="F25" s="106">
        <v>0.1</v>
      </c>
      <c r="G25" s="11"/>
      <c r="H25" s="11"/>
    </row>
    <row r="26" spans="2:8" ht="18" customHeight="1" x14ac:dyDescent="0.5">
      <c r="B26" s="21" t="s">
        <v>78</v>
      </c>
      <c r="C26" s="15"/>
      <c r="D26" s="105">
        <v>1</v>
      </c>
      <c r="E26" s="41"/>
      <c r="F26" s="105">
        <v>0.1</v>
      </c>
      <c r="G26" s="11"/>
      <c r="H26" s="11"/>
    </row>
    <row r="27" spans="2:8" ht="18" customHeight="1" x14ac:dyDescent="0.5">
      <c r="B27" s="40" t="s">
        <v>91</v>
      </c>
      <c r="C27" s="15"/>
      <c r="D27" s="42">
        <f>SUM(D24:D26)</f>
        <v>9</v>
      </c>
      <c r="E27" s="41"/>
      <c r="F27" s="42">
        <f>SUM(F24:F26)</f>
        <v>0.30000000000000004</v>
      </c>
      <c r="G27" s="11"/>
      <c r="H27" s="11"/>
    </row>
    <row r="28" spans="2:8" ht="18" customHeight="1" x14ac:dyDescent="0.5">
      <c r="B28" s="44" t="s">
        <v>92</v>
      </c>
      <c r="C28" s="45"/>
      <c r="D28" s="46">
        <f>D27*52</f>
        <v>468</v>
      </c>
      <c r="E28" s="47"/>
      <c r="F28" s="46">
        <f>F27*52</f>
        <v>15.600000000000001</v>
      </c>
      <c r="G28" s="45"/>
      <c r="H28" s="45"/>
    </row>
    <row r="29" spans="2:8" ht="18" customHeight="1" x14ac:dyDescent="0.5">
      <c r="B29" s="21"/>
      <c r="C29" s="15"/>
      <c r="D29" s="19"/>
      <c r="E29" s="11"/>
      <c r="F29" s="19"/>
      <c r="G29" s="11"/>
      <c r="H29" s="11"/>
    </row>
    <row r="30" spans="2:8" ht="18" customHeight="1" x14ac:dyDescent="0.5">
      <c r="B30" s="5" t="s">
        <v>10</v>
      </c>
      <c r="C30" s="13"/>
      <c r="D30" s="19"/>
      <c r="E30" s="11"/>
      <c r="F30" s="19"/>
      <c r="G30" s="11"/>
      <c r="H30" s="11"/>
    </row>
    <row r="31" spans="2:8" ht="18" customHeight="1" x14ac:dyDescent="0.5">
      <c r="B31" s="2" t="s">
        <v>87</v>
      </c>
      <c r="C31" s="14"/>
      <c r="D31" s="50" t="s">
        <v>9</v>
      </c>
      <c r="E31" s="50"/>
      <c r="F31" s="50" t="s">
        <v>184</v>
      </c>
      <c r="G31" s="50"/>
      <c r="H31" s="50" t="s">
        <v>83</v>
      </c>
    </row>
    <row r="32" spans="2:8" ht="18" customHeight="1" x14ac:dyDescent="0.5">
      <c r="B32" s="8" t="s">
        <v>84</v>
      </c>
      <c r="C32" s="11"/>
      <c r="D32" s="52">
        <f>D6*((D8/(40*52))*D21)</f>
        <v>328125</v>
      </c>
      <c r="E32" s="28"/>
      <c r="F32" s="52">
        <f>D6*((D8/(40*52))*F21)</f>
        <v>41625</v>
      </c>
      <c r="G32" s="28"/>
      <c r="H32" s="52">
        <f>D32-F32</f>
        <v>286500</v>
      </c>
    </row>
    <row r="33" spans="2:8" ht="18" customHeight="1" x14ac:dyDescent="0.5">
      <c r="B33" s="8" t="s">
        <v>85</v>
      </c>
      <c r="C33" s="11"/>
      <c r="D33" s="52">
        <f>D7*((D9/(40*52))*D28)</f>
        <v>45000</v>
      </c>
      <c r="E33" s="28"/>
      <c r="F33" s="52">
        <f>D7*((D9/(40*52))*F28)</f>
        <v>1500.0000000000002</v>
      </c>
      <c r="G33" s="28"/>
      <c r="H33" s="52">
        <f>D33-F33</f>
        <v>43500</v>
      </c>
    </row>
    <row r="34" spans="2:8" s="72" customFormat="1" ht="18" customHeight="1" x14ac:dyDescent="0.5">
      <c r="B34" s="70" t="s">
        <v>86</v>
      </c>
      <c r="C34" s="70"/>
      <c r="D34" s="67">
        <f>SUM(D32:D33)</f>
        <v>373125</v>
      </c>
      <c r="E34" s="71"/>
      <c r="F34" s="67">
        <f>SUM(F32:F33)</f>
        <v>43125</v>
      </c>
      <c r="G34" s="67"/>
      <c r="H34" s="67">
        <f>SUM(H32:H33)</f>
        <v>330000</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A261D-2346-4EF0-B930-CCAE48652480}">
  <dimension ref="B1:K66"/>
  <sheetViews>
    <sheetView showGridLines="0" workbookViewId="0">
      <selection activeCell="L33" sqref="L33"/>
    </sheetView>
  </sheetViews>
  <sheetFormatPr defaultColWidth="9.1171875" defaultRowHeight="18" customHeight="1" x14ac:dyDescent="0.5"/>
  <cols>
    <col min="1" max="1" width="5.29296875" customWidth="1"/>
    <col min="2" max="2" width="51.41015625" customWidth="1"/>
    <col min="3" max="3" width="1.17578125" customWidth="1"/>
    <col min="4" max="4" width="3.1171875" customWidth="1"/>
    <col min="5" max="5" width="9.76171875" customWidth="1"/>
    <col min="6" max="6" width="5.859375E-2" customWidth="1"/>
    <col min="7" max="7" width="13.05859375" customWidth="1"/>
    <col min="8" max="8" width="0.29296875" customWidth="1"/>
    <col min="9" max="9" width="9.1171875" customWidth="1"/>
    <col min="10" max="10" width="2.703125" hidden="1" customWidth="1"/>
    <col min="11" max="11" width="11.9375" customWidth="1"/>
    <col min="12" max="12" width="13" customWidth="1"/>
  </cols>
  <sheetData>
    <row r="1" spans="2:11" ht="18" customHeight="1" x14ac:dyDescent="0.6">
      <c r="B1" s="38" t="s">
        <v>72</v>
      </c>
      <c r="C1" s="38"/>
    </row>
    <row r="2" spans="2:11" ht="18" customHeight="1" x14ac:dyDescent="0.5">
      <c r="B2" s="21" t="s">
        <v>204</v>
      </c>
      <c r="C2" s="21"/>
    </row>
    <row r="3" spans="2:11" ht="18" customHeight="1" x14ac:dyDescent="0.5">
      <c r="B3" s="8"/>
      <c r="C3" s="8"/>
      <c r="D3" s="8"/>
      <c r="E3" s="8"/>
      <c r="F3" s="8"/>
      <c r="G3" s="8"/>
      <c r="H3" s="8"/>
      <c r="I3" s="8"/>
      <c r="J3" s="8"/>
      <c r="K3" s="8"/>
    </row>
    <row r="4" spans="2:11" ht="18" customHeight="1" x14ac:dyDescent="0.5">
      <c r="B4" s="129" t="s">
        <v>205</v>
      </c>
      <c r="C4" s="129"/>
      <c r="D4" s="129"/>
      <c r="E4" s="8"/>
      <c r="F4" s="8"/>
      <c r="H4" s="8"/>
      <c r="I4" s="8"/>
      <c r="J4" s="8"/>
      <c r="K4" s="8"/>
    </row>
    <row r="5" spans="2:11" s="21" customFormat="1" ht="29.25" customHeight="1" x14ac:dyDescent="0.5">
      <c r="B5" s="130" t="s">
        <v>206</v>
      </c>
      <c r="C5" s="130"/>
      <c r="D5" s="131"/>
      <c r="E5" s="132" t="s">
        <v>207</v>
      </c>
      <c r="F5" s="132"/>
      <c r="G5" s="133" t="s">
        <v>208</v>
      </c>
      <c r="H5" s="131"/>
      <c r="I5" s="133" t="s">
        <v>209</v>
      </c>
      <c r="J5" s="131"/>
      <c r="K5" s="133" t="s">
        <v>210</v>
      </c>
    </row>
    <row r="6" spans="2:11" ht="18" customHeight="1" x14ac:dyDescent="0.5">
      <c r="B6" s="8" t="s">
        <v>211</v>
      </c>
      <c r="C6" s="8"/>
      <c r="D6" s="30"/>
      <c r="E6" s="134">
        <v>1</v>
      </c>
      <c r="F6" s="30"/>
      <c r="G6" s="135">
        <v>60000</v>
      </c>
      <c r="H6" s="30"/>
      <c r="I6" s="136">
        <f>G6/2080</f>
        <v>28.846153846153847</v>
      </c>
      <c r="J6" s="30"/>
      <c r="K6" s="137">
        <f>E6*G6</f>
        <v>60000</v>
      </c>
    </row>
    <row r="7" spans="2:11" ht="18" customHeight="1" x14ac:dyDescent="0.5">
      <c r="B7" s="8" t="s">
        <v>212</v>
      </c>
      <c r="C7" s="8"/>
      <c r="D7" s="30"/>
      <c r="E7" s="134">
        <v>1</v>
      </c>
      <c r="F7" s="30"/>
      <c r="G7" s="135">
        <v>100000</v>
      </c>
      <c r="H7" s="30"/>
      <c r="I7" s="136">
        <f t="shared" ref="I7:I10" si="0">G7/2080</f>
        <v>48.07692307692308</v>
      </c>
      <c r="J7" s="30"/>
      <c r="K7" s="137">
        <f t="shared" ref="K7:K10" si="1">E7*G7</f>
        <v>100000</v>
      </c>
    </row>
    <row r="8" spans="2:11" ht="18" customHeight="1" x14ac:dyDescent="0.5">
      <c r="B8" s="8" t="s">
        <v>213</v>
      </c>
      <c r="C8" s="8"/>
      <c r="D8" s="30"/>
      <c r="E8" s="134">
        <v>2</v>
      </c>
      <c r="F8" s="30"/>
      <c r="G8" s="135">
        <v>140000</v>
      </c>
      <c r="H8" s="30"/>
      <c r="I8" s="136">
        <f t="shared" si="0"/>
        <v>67.307692307692307</v>
      </c>
      <c r="J8" s="30"/>
      <c r="K8" s="137">
        <f t="shared" si="1"/>
        <v>280000</v>
      </c>
    </row>
    <row r="9" spans="2:11" ht="18" customHeight="1" x14ac:dyDescent="0.5">
      <c r="B9" s="8" t="s">
        <v>214</v>
      </c>
      <c r="C9" s="8"/>
      <c r="D9" s="30"/>
      <c r="E9" s="134">
        <v>1</v>
      </c>
      <c r="F9" s="30"/>
      <c r="G9" s="135">
        <v>180000</v>
      </c>
      <c r="H9" s="30"/>
      <c r="I9" s="136">
        <f t="shared" si="0"/>
        <v>86.538461538461533</v>
      </c>
      <c r="J9" s="30"/>
      <c r="K9" s="137">
        <f t="shared" si="1"/>
        <v>180000</v>
      </c>
    </row>
    <row r="10" spans="2:11" ht="18" customHeight="1" x14ac:dyDescent="0.5">
      <c r="B10" s="8" t="s">
        <v>215</v>
      </c>
      <c r="C10" s="8"/>
      <c r="D10" s="30"/>
      <c r="E10" s="134">
        <v>0</v>
      </c>
      <c r="F10" s="30"/>
      <c r="G10" s="135">
        <v>200000</v>
      </c>
      <c r="H10" s="30"/>
      <c r="I10" s="136">
        <f t="shared" si="0"/>
        <v>96.15384615384616</v>
      </c>
      <c r="J10" s="30"/>
      <c r="K10" s="137">
        <f t="shared" si="1"/>
        <v>0</v>
      </c>
    </row>
    <row r="11" spans="2:11" ht="18" customHeight="1" x14ac:dyDescent="0.5">
      <c r="B11" s="138" t="s">
        <v>216</v>
      </c>
      <c r="C11" s="138"/>
      <c r="D11" s="139"/>
      <c r="E11" s="140">
        <f>SUM(E6:E10)</f>
        <v>5</v>
      </c>
      <c r="F11" s="139"/>
      <c r="G11" s="139"/>
      <c r="H11" s="139"/>
      <c r="I11" s="141"/>
      <c r="J11" s="139"/>
      <c r="K11" s="141">
        <f>SUM(K6:K10)</f>
        <v>620000</v>
      </c>
    </row>
    <row r="12" spans="2:11" ht="18" customHeight="1" x14ac:dyDescent="0.5">
      <c r="B12" s="8"/>
      <c r="C12" s="8"/>
      <c r="D12" s="30"/>
      <c r="E12" s="142"/>
      <c r="F12" s="30"/>
      <c r="G12" s="142"/>
      <c r="H12" s="30"/>
      <c r="I12" s="30"/>
      <c r="J12" s="30"/>
      <c r="K12" s="30"/>
    </row>
    <row r="13" spans="2:11" ht="18" customHeight="1" x14ac:dyDescent="0.5">
      <c r="B13" s="167" t="s">
        <v>284</v>
      </c>
      <c r="C13" s="129"/>
      <c r="D13" s="143"/>
      <c r="E13" s="39"/>
      <c r="F13" s="30"/>
      <c r="G13" s="39"/>
      <c r="H13" s="30"/>
      <c r="I13" s="30"/>
      <c r="J13" s="30"/>
      <c r="K13" s="30"/>
    </row>
    <row r="14" spans="2:11" s="21" customFormat="1" ht="27" customHeight="1" x14ac:dyDescent="0.5">
      <c r="B14" s="130" t="s">
        <v>217</v>
      </c>
      <c r="C14" s="130"/>
      <c r="D14" s="131"/>
      <c r="E14" s="133" t="s">
        <v>218</v>
      </c>
      <c r="F14" s="131"/>
      <c r="G14" s="133" t="s">
        <v>219</v>
      </c>
      <c r="H14" s="131"/>
      <c r="I14" s="133" t="s">
        <v>220</v>
      </c>
      <c r="J14" s="131"/>
      <c r="K14" s="133" t="s">
        <v>122</v>
      </c>
    </row>
    <row r="15" spans="2:11" ht="18" customHeight="1" x14ac:dyDescent="0.5">
      <c r="B15" s="10" t="s">
        <v>221</v>
      </c>
      <c r="C15" s="10"/>
      <c r="D15" s="30"/>
      <c r="E15" s="144">
        <v>6</v>
      </c>
      <c r="F15" s="145"/>
      <c r="G15" s="144">
        <v>4</v>
      </c>
      <c r="H15" s="30"/>
      <c r="I15" s="146">
        <f>E15-G15</f>
        <v>2</v>
      </c>
      <c r="J15" s="30"/>
      <c r="K15" s="73">
        <f t="shared" ref="K15:K21" si="2">(E15-G15)/E15</f>
        <v>0.33333333333333331</v>
      </c>
    </row>
    <row r="16" spans="2:11" ht="18" customHeight="1" x14ac:dyDescent="0.5">
      <c r="B16" s="10" t="s">
        <v>222</v>
      </c>
      <c r="C16" s="10"/>
      <c r="D16" s="30"/>
      <c r="E16" s="144">
        <v>6</v>
      </c>
      <c r="F16" s="145"/>
      <c r="G16" s="144">
        <v>0.2</v>
      </c>
      <c r="H16" s="30"/>
      <c r="I16" s="146">
        <f t="shared" ref="I16:I20" si="3">E16-G16</f>
        <v>5.8</v>
      </c>
      <c r="J16" s="30"/>
      <c r="K16" s="73">
        <f t="shared" si="2"/>
        <v>0.96666666666666667</v>
      </c>
    </row>
    <row r="17" spans="2:11" ht="18" customHeight="1" x14ac:dyDescent="0.5">
      <c r="B17" s="10" t="s">
        <v>223</v>
      </c>
      <c r="C17" s="10"/>
      <c r="D17" s="30"/>
      <c r="E17" s="144">
        <v>4</v>
      </c>
      <c r="F17" s="145"/>
      <c r="G17" s="144">
        <v>2</v>
      </c>
      <c r="H17" s="30"/>
      <c r="I17" s="146">
        <f t="shared" si="3"/>
        <v>2</v>
      </c>
      <c r="J17" s="30"/>
      <c r="K17" s="73">
        <f t="shared" si="2"/>
        <v>0.5</v>
      </c>
    </row>
    <row r="18" spans="2:11" ht="18" customHeight="1" x14ac:dyDescent="0.5">
      <c r="B18" s="10" t="s">
        <v>224</v>
      </c>
      <c r="C18" s="10"/>
      <c r="D18" s="30"/>
      <c r="E18" s="144">
        <v>8</v>
      </c>
      <c r="F18" s="145"/>
      <c r="G18" s="144">
        <v>1</v>
      </c>
      <c r="H18" s="30"/>
      <c r="I18" s="146">
        <f t="shared" si="3"/>
        <v>7</v>
      </c>
      <c r="J18" s="30"/>
      <c r="K18" s="73">
        <f t="shared" si="2"/>
        <v>0.875</v>
      </c>
    </row>
    <row r="19" spans="2:11" ht="18" customHeight="1" x14ac:dyDescent="0.5">
      <c r="B19" s="10" t="s">
        <v>225</v>
      </c>
      <c r="C19" s="10"/>
      <c r="D19" s="30"/>
      <c r="E19" s="144">
        <v>8</v>
      </c>
      <c r="F19" s="145"/>
      <c r="G19" s="144">
        <v>0.2</v>
      </c>
      <c r="H19" s="30"/>
      <c r="I19" s="146">
        <f t="shared" si="3"/>
        <v>7.8</v>
      </c>
      <c r="J19" s="30"/>
      <c r="K19" s="73">
        <f t="shared" si="2"/>
        <v>0.97499999999999998</v>
      </c>
    </row>
    <row r="20" spans="2:11" ht="18" customHeight="1" x14ac:dyDescent="0.5">
      <c r="B20" s="10" t="s">
        <v>226</v>
      </c>
      <c r="C20" s="10"/>
      <c r="D20" s="30"/>
      <c r="E20" s="144">
        <v>4</v>
      </c>
      <c r="F20" s="145"/>
      <c r="G20" s="144">
        <v>0.2</v>
      </c>
      <c r="H20" s="30"/>
      <c r="I20" s="146">
        <f t="shared" si="3"/>
        <v>3.8</v>
      </c>
      <c r="J20" s="30"/>
      <c r="K20" s="73">
        <f t="shared" si="2"/>
        <v>0.95</v>
      </c>
    </row>
    <row r="21" spans="2:11" ht="18" customHeight="1" x14ac:dyDescent="0.5">
      <c r="B21" s="138" t="s">
        <v>227</v>
      </c>
      <c r="C21" s="138"/>
      <c r="D21" s="139"/>
      <c r="E21" s="140">
        <f>SUM(E15:E20)</f>
        <v>36</v>
      </c>
      <c r="F21" s="139"/>
      <c r="G21" s="140">
        <f>SUM(G15:G20)</f>
        <v>7.6000000000000005</v>
      </c>
      <c r="H21" s="139"/>
      <c r="I21" s="140">
        <f>SUM(I15:I20)</f>
        <v>28.400000000000002</v>
      </c>
      <c r="J21" s="139"/>
      <c r="K21" s="74">
        <f t="shared" si="2"/>
        <v>0.78888888888888886</v>
      </c>
    </row>
    <row r="22" spans="2:11" ht="18" customHeight="1" x14ac:dyDescent="0.5">
      <c r="B22" s="60"/>
      <c r="C22" s="60"/>
      <c r="D22" s="147"/>
      <c r="E22" s="148"/>
      <c r="F22" s="149"/>
      <c r="G22" s="148"/>
      <c r="H22" s="147"/>
      <c r="I22" s="147"/>
      <c r="J22" s="147"/>
      <c r="K22" s="147"/>
    </row>
    <row r="23" spans="2:11" ht="18" customHeight="1" x14ac:dyDescent="0.5">
      <c r="B23" s="129" t="s">
        <v>228</v>
      </c>
      <c r="C23" s="129"/>
      <c r="D23" s="129"/>
      <c r="E23" s="8"/>
      <c r="F23" s="8"/>
      <c r="H23" s="8"/>
      <c r="I23" s="8"/>
      <c r="J23" s="8"/>
      <c r="K23" s="8"/>
    </row>
    <row r="24" spans="2:11" ht="45.75" customHeight="1" x14ac:dyDescent="0.5">
      <c r="B24" s="130" t="s">
        <v>229</v>
      </c>
      <c r="C24" s="130"/>
      <c r="D24" s="150"/>
      <c r="E24" s="133" t="s">
        <v>230</v>
      </c>
      <c r="F24" s="151"/>
      <c r="G24" s="133" t="s">
        <v>231</v>
      </c>
      <c r="H24" s="150"/>
      <c r="I24" s="133" t="s">
        <v>232</v>
      </c>
      <c r="J24" s="150"/>
      <c r="K24" s="133" t="s">
        <v>233</v>
      </c>
    </row>
    <row r="25" spans="2:11" ht="18" customHeight="1" x14ac:dyDescent="0.5">
      <c r="B25" s="152" t="s">
        <v>234</v>
      </c>
      <c r="C25" s="152"/>
      <c r="D25" s="139"/>
      <c r="E25" s="153">
        <v>0</v>
      </c>
      <c r="F25" s="139"/>
      <c r="G25" s="154">
        <v>0</v>
      </c>
      <c r="H25" s="139"/>
      <c r="I25" s="154">
        <f>E25</f>
        <v>0</v>
      </c>
      <c r="J25" s="139"/>
      <c r="K25" s="154">
        <f>I25+G25</f>
        <v>0</v>
      </c>
    </row>
    <row r="26" spans="2:11" ht="18" customHeight="1" x14ac:dyDescent="0.5">
      <c r="B26" s="8" t="s">
        <v>235</v>
      </c>
      <c r="C26" s="8"/>
      <c r="D26" s="30"/>
      <c r="E26" s="155">
        <v>0</v>
      </c>
      <c r="F26" s="30"/>
      <c r="G26" s="144">
        <v>3</v>
      </c>
      <c r="H26" s="30"/>
      <c r="I26" s="145">
        <f>E26</f>
        <v>0</v>
      </c>
      <c r="J26" s="30"/>
      <c r="K26" s="145">
        <f>I26+G26</f>
        <v>3</v>
      </c>
    </row>
    <row r="27" spans="2:11" ht="18" customHeight="1" x14ac:dyDescent="0.5">
      <c r="B27" s="8" t="s">
        <v>236</v>
      </c>
      <c r="C27" s="8"/>
      <c r="D27" s="30"/>
      <c r="E27" s="111">
        <v>0.2</v>
      </c>
      <c r="F27" s="30"/>
      <c r="G27" s="156">
        <v>3</v>
      </c>
      <c r="H27" s="30"/>
      <c r="I27" s="145">
        <f>K26</f>
        <v>3</v>
      </c>
      <c r="J27" s="30"/>
      <c r="K27" s="145">
        <f t="shared" ref="K27:K29" si="4">I27+G27</f>
        <v>6</v>
      </c>
    </row>
    <row r="28" spans="2:11" ht="18" customHeight="1" x14ac:dyDescent="0.5">
      <c r="B28" s="8" t="s">
        <v>237</v>
      </c>
      <c r="C28" s="8"/>
      <c r="D28" s="30"/>
      <c r="E28" s="111">
        <v>0.75</v>
      </c>
      <c r="F28" s="30"/>
      <c r="G28" s="156">
        <v>12</v>
      </c>
      <c r="H28" s="30"/>
      <c r="I28" s="145">
        <f>K27</f>
        <v>6</v>
      </c>
      <c r="J28" s="30"/>
      <c r="K28" s="145">
        <f t="shared" si="4"/>
        <v>18</v>
      </c>
    </row>
    <row r="29" spans="2:11" ht="18" customHeight="1" x14ac:dyDescent="0.5">
      <c r="B29" s="8" t="s">
        <v>238</v>
      </c>
      <c r="C29" s="8"/>
      <c r="D29" s="30"/>
      <c r="E29" s="157">
        <v>1</v>
      </c>
      <c r="F29" s="30"/>
      <c r="G29" s="144">
        <v>16</v>
      </c>
      <c r="H29" s="30"/>
      <c r="I29" s="145">
        <f>K28</f>
        <v>18</v>
      </c>
      <c r="J29" s="30"/>
      <c r="K29" s="145">
        <f t="shared" si="4"/>
        <v>34</v>
      </c>
    </row>
    <row r="30" spans="2:11" ht="18" customHeight="1" x14ac:dyDescent="0.5">
      <c r="B30" s="152" t="s">
        <v>239</v>
      </c>
      <c r="C30" s="152"/>
      <c r="D30" s="139"/>
      <c r="E30" s="153">
        <v>1</v>
      </c>
      <c r="F30" s="139"/>
      <c r="G30" s="154">
        <f>52-K29</f>
        <v>18</v>
      </c>
      <c r="H30" s="139"/>
      <c r="I30" s="154">
        <f>K29</f>
        <v>34</v>
      </c>
      <c r="J30" s="139"/>
      <c r="K30" s="154">
        <v>52</v>
      </c>
    </row>
    <row r="31" spans="2:11" ht="18" customHeight="1" x14ac:dyDescent="0.5">
      <c r="B31" s="8"/>
      <c r="C31" s="8"/>
      <c r="D31" s="30"/>
      <c r="E31" s="158"/>
      <c r="F31" s="147"/>
      <c r="G31" s="149"/>
      <c r="H31" s="30"/>
      <c r="I31" s="145"/>
      <c r="J31" s="30"/>
      <c r="K31" s="145"/>
    </row>
    <row r="32" spans="2:11" ht="18" customHeight="1" x14ac:dyDescent="0.5">
      <c r="B32" s="8"/>
      <c r="C32" s="8"/>
      <c r="D32" s="30"/>
      <c r="E32" s="158"/>
      <c r="F32" s="147"/>
      <c r="G32" s="149"/>
      <c r="H32" s="30"/>
      <c r="I32" s="145"/>
      <c r="J32" s="30"/>
      <c r="K32" s="145"/>
    </row>
    <row r="33" spans="2:11" ht="18" customHeight="1" x14ac:dyDescent="0.5">
      <c r="B33" s="8"/>
      <c r="C33" s="8"/>
      <c r="D33" s="30"/>
      <c r="E33" s="159"/>
      <c r="F33" s="30"/>
      <c r="G33" s="30"/>
      <c r="H33" s="30"/>
      <c r="I33" s="30"/>
      <c r="J33" s="30"/>
      <c r="K33" s="30"/>
    </row>
    <row r="34" spans="2:11" ht="18" customHeight="1" x14ac:dyDescent="0.5">
      <c r="B34" s="8"/>
      <c r="C34" s="8"/>
      <c r="D34" s="30"/>
      <c r="E34" s="159"/>
      <c r="F34" s="30"/>
      <c r="G34" s="30"/>
      <c r="H34" s="30"/>
      <c r="I34" s="30"/>
      <c r="J34" s="30"/>
      <c r="K34" s="30"/>
    </row>
    <row r="35" spans="2:11" ht="18" customHeight="1" x14ac:dyDescent="0.5">
      <c r="B35" s="8"/>
      <c r="C35" s="8"/>
      <c r="D35" s="30"/>
      <c r="E35" s="159"/>
      <c r="F35" s="30"/>
      <c r="G35" s="30"/>
      <c r="H35" s="30"/>
      <c r="I35" s="30"/>
      <c r="J35" s="30"/>
      <c r="K35" s="30"/>
    </row>
    <row r="36" spans="2:11" ht="18" customHeight="1" x14ac:dyDescent="0.5">
      <c r="B36" s="8"/>
      <c r="C36" s="8"/>
      <c r="D36" s="30"/>
      <c r="E36" s="159"/>
      <c r="F36" s="30"/>
      <c r="G36" s="30"/>
      <c r="H36" s="30"/>
      <c r="I36" s="30"/>
      <c r="J36" s="30"/>
      <c r="K36" s="30"/>
    </row>
    <row r="37" spans="2:11" ht="18" customHeight="1" x14ac:dyDescent="0.5">
      <c r="B37" s="8"/>
      <c r="C37" s="8"/>
      <c r="D37" s="30"/>
      <c r="E37" s="159"/>
      <c r="F37" s="30"/>
      <c r="G37" s="30"/>
      <c r="H37" s="30"/>
      <c r="I37" s="30"/>
      <c r="J37" s="30"/>
      <c r="K37" s="30"/>
    </row>
    <row r="38" spans="2:11" ht="18" customHeight="1" x14ac:dyDescent="0.5">
      <c r="B38" s="8"/>
      <c r="C38" s="8"/>
      <c r="D38" s="30"/>
      <c r="E38" s="159"/>
      <c r="F38" s="30"/>
      <c r="G38" s="30"/>
      <c r="H38" s="30"/>
      <c r="I38" s="30"/>
      <c r="J38" s="30"/>
      <c r="K38" s="30"/>
    </row>
    <row r="39" spans="2:11" ht="18" customHeight="1" x14ac:dyDescent="0.5">
      <c r="B39" s="8"/>
      <c r="C39" s="8"/>
      <c r="D39" s="30"/>
      <c r="E39" s="159"/>
      <c r="F39" s="30"/>
      <c r="G39" s="30"/>
      <c r="H39" s="30"/>
      <c r="I39" s="30"/>
      <c r="J39" s="30"/>
      <c r="K39" s="30"/>
    </row>
    <row r="40" spans="2:11" ht="18" customHeight="1" x14ac:dyDescent="0.5">
      <c r="B40" s="8"/>
      <c r="C40" s="8"/>
      <c r="D40" s="30"/>
      <c r="E40" s="159"/>
      <c r="F40" s="30"/>
      <c r="G40" s="30"/>
      <c r="H40" s="30"/>
      <c r="I40" s="30"/>
      <c r="J40" s="30"/>
      <c r="K40" s="30"/>
    </row>
    <row r="41" spans="2:11" ht="18" customHeight="1" x14ac:dyDescent="0.5">
      <c r="B41" s="8"/>
      <c r="C41" s="8"/>
      <c r="D41" s="30"/>
      <c r="E41" s="159"/>
      <c r="F41" s="30"/>
      <c r="G41" s="30"/>
      <c r="H41" s="30"/>
      <c r="I41" s="30"/>
      <c r="J41" s="30"/>
      <c r="K41" s="30"/>
    </row>
    <row r="42" spans="2:11" ht="18" customHeight="1" x14ac:dyDescent="0.5">
      <c r="B42" s="8"/>
      <c r="C42" s="8"/>
      <c r="D42" s="30"/>
      <c r="E42" s="159"/>
      <c r="F42" s="30"/>
      <c r="G42" s="30"/>
      <c r="H42" s="30"/>
      <c r="I42" s="30"/>
      <c r="J42" s="30"/>
      <c r="K42" s="30"/>
    </row>
    <row r="43" spans="2:11" ht="18" customHeight="1" x14ac:dyDescent="0.5">
      <c r="B43" s="8"/>
      <c r="C43" s="8"/>
      <c r="D43" s="30"/>
      <c r="E43" s="159"/>
      <c r="F43" s="30"/>
      <c r="G43" s="30"/>
      <c r="H43" s="30"/>
      <c r="I43" s="30"/>
      <c r="J43" s="30"/>
      <c r="K43" s="30"/>
    </row>
    <row r="44" spans="2:11" ht="18" customHeight="1" x14ac:dyDescent="0.5">
      <c r="B44" s="21"/>
      <c r="C44" s="21"/>
      <c r="D44" s="147"/>
      <c r="E44" s="160"/>
      <c r="F44" s="30"/>
      <c r="G44" s="160"/>
      <c r="H44" s="30"/>
      <c r="I44" s="30"/>
      <c r="J44" s="30"/>
      <c r="K44" s="30"/>
    </row>
    <row r="45" spans="2:11" ht="18" customHeight="1" x14ac:dyDescent="0.5">
      <c r="B45" s="21"/>
      <c r="C45" s="21"/>
      <c r="D45" s="147"/>
      <c r="E45" s="160"/>
      <c r="F45" s="30"/>
      <c r="G45" s="160"/>
      <c r="H45" s="30"/>
      <c r="I45" s="30"/>
      <c r="J45" s="30"/>
      <c r="K45" s="30"/>
    </row>
    <row r="46" spans="2:11" ht="18" customHeight="1" x14ac:dyDescent="0.5">
      <c r="B46" s="21"/>
      <c r="C46" s="21"/>
      <c r="D46" s="147"/>
      <c r="E46" s="160"/>
      <c r="F46" s="30"/>
      <c r="G46" s="160"/>
      <c r="H46" s="30"/>
      <c r="I46" s="30"/>
      <c r="J46" s="30"/>
      <c r="K46" s="30"/>
    </row>
    <row r="47" spans="2:11" ht="18" customHeight="1" x14ac:dyDescent="0.5">
      <c r="B47" s="21"/>
      <c r="C47" s="21"/>
      <c r="D47" s="147"/>
      <c r="E47" s="160"/>
      <c r="F47" s="30"/>
      <c r="G47" s="160"/>
      <c r="H47" s="30"/>
      <c r="I47" s="30"/>
      <c r="J47" s="30"/>
      <c r="K47" s="30"/>
    </row>
    <row r="48" spans="2:11" ht="18" customHeight="1" x14ac:dyDescent="0.5">
      <c r="B48" s="129" t="s">
        <v>10</v>
      </c>
      <c r="C48" s="129"/>
      <c r="D48" s="143"/>
      <c r="E48" s="160"/>
      <c r="F48" s="30"/>
      <c r="G48" s="160"/>
      <c r="H48" s="30"/>
      <c r="I48" s="30"/>
      <c r="J48" s="30"/>
      <c r="K48" s="30"/>
    </row>
    <row r="49" spans="2:11" ht="18" customHeight="1" x14ac:dyDescent="0.5">
      <c r="B49" s="161" t="s">
        <v>240</v>
      </c>
      <c r="C49" s="132"/>
      <c r="D49" s="150"/>
      <c r="E49" s="132" t="s">
        <v>241</v>
      </c>
      <c r="F49" s="132"/>
      <c r="G49" s="132" t="s">
        <v>242</v>
      </c>
      <c r="H49" s="132"/>
      <c r="I49" s="132" t="s">
        <v>243</v>
      </c>
      <c r="J49" s="132"/>
      <c r="K49" s="132" t="s">
        <v>244</v>
      </c>
    </row>
    <row r="50" spans="2:11" ht="18" customHeight="1" x14ac:dyDescent="0.5">
      <c r="B50" s="8" t="s">
        <v>211</v>
      </c>
      <c r="C50" s="162"/>
      <c r="D50" s="30"/>
      <c r="E50" s="162">
        <f>((E26+E27)/2)*K50</f>
        <v>70.961538461538467</v>
      </c>
      <c r="F50" s="30"/>
      <c r="G50" s="162">
        <f>((E27+E28)/2)*K50</f>
        <v>337.06730769230768</v>
      </c>
      <c r="H50" s="30"/>
      <c r="I50" s="137">
        <f>((E28+E29)/2)*K50</f>
        <v>620.91346153846155</v>
      </c>
      <c r="J50" s="30"/>
      <c r="K50" s="137">
        <f>E6*I6*SUM(I15:I19)</f>
        <v>709.61538461538464</v>
      </c>
    </row>
    <row r="51" spans="2:11" ht="18" customHeight="1" x14ac:dyDescent="0.5">
      <c r="B51" s="8" t="s">
        <v>212</v>
      </c>
      <c r="C51" s="162"/>
      <c r="D51" s="30"/>
      <c r="E51" s="162">
        <f>((E26+E27)/2)*K51</f>
        <v>118.26923076923079</v>
      </c>
      <c r="F51" s="30"/>
      <c r="G51" s="162">
        <f>((E27+E28)/2)*K51</f>
        <v>561.77884615384619</v>
      </c>
      <c r="H51" s="30"/>
      <c r="I51" s="137">
        <f>((E28+E29)/2)*K51</f>
        <v>1034.8557692307693</v>
      </c>
      <c r="J51" s="30"/>
      <c r="K51" s="137">
        <f>E7*I7*SUM(I15:I19)</f>
        <v>1182.6923076923078</v>
      </c>
    </row>
    <row r="52" spans="2:11" ht="18" customHeight="1" x14ac:dyDescent="0.5">
      <c r="B52" s="8" t="s">
        <v>213</v>
      </c>
      <c r="C52" s="162"/>
      <c r="D52" s="30"/>
      <c r="E52" s="162">
        <f>((E26+E27)/2)*K52</f>
        <v>382.30769230769238</v>
      </c>
      <c r="F52" s="30"/>
      <c r="G52" s="162">
        <f>((E27+E28)/2)*K52</f>
        <v>1815.9615384615386</v>
      </c>
      <c r="H52" s="30"/>
      <c r="I52" s="137">
        <f>((E28+E29)/2)*K52</f>
        <v>3345.1923076923081</v>
      </c>
      <c r="J52" s="30"/>
      <c r="K52" s="137">
        <f>E8*I8*SUM(I15:I20)</f>
        <v>3823.0769230769233</v>
      </c>
    </row>
    <row r="53" spans="2:11" ht="18" customHeight="1" x14ac:dyDescent="0.5">
      <c r="B53" s="8" t="s">
        <v>214</v>
      </c>
      <c r="C53" s="162"/>
      <c r="D53" s="30"/>
      <c r="E53" s="162">
        <f>((E26+E27)/2)*K53</f>
        <v>245.76923076923077</v>
      </c>
      <c r="F53" s="30"/>
      <c r="G53" s="162">
        <f>((E27+E28)/2)*K53</f>
        <v>1167.403846153846</v>
      </c>
      <c r="H53" s="30"/>
      <c r="I53" s="137">
        <f>((E28+E29)/2)*K53</f>
        <v>2150.4807692307691</v>
      </c>
      <c r="J53" s="30"/>
      <c r="K53" s="137">
        <f>E9*I9*SUM(I15:I20)</f>
        <v>2457.6923076923076</v>
      </c>
    </row>
    <row r="54" spans="2:11" ht="18" customHeight="1" x14ac:dyDescent="0.5">
      <c r="B54" s="8" t="s">
        <v>215</v>
      </c>
      <c r="C54" s="162"/>
      <c r="D54" s="30"/>
      <c r="E54" s="162">
        <f>((E26+E27)/2)*K54</f>
        <v>0</v>
      </c>
      <c r="F54" s="30"/>
      <c r="G54" s="162">
        <f>((E27+E28)/2)*K54</f>
        <v>0</v>
      </c>
      <c r="H54" s="30"/>
      <c r="I54" s="137">
        <f>((E28+E29)/2)*K54</f>
        <v>0</v>
      </c>
      <c r="J54" s="30"/>
      <c r="K54" s="137">
        <f>E10*I10*I20</f>
        <v>0</v>
      </c>
    </row>
    <row r="55" spans="2:11" s="72" customFormat="1" ht="18" customHeight="1" x14ac:dyDescent="0.5">
      <c r="B55" s="163" t="s">
        <v>245</v>
      </c>
      <c r="C55" s="164"/>
      <c r="D55" s="163"/>
      <c r="E55" s="164">
        <f>SUM(E50:E54)</f>
        <v>817.30769230769238</v>
      </c>
      <c r="F55" s="165"/>
      <c r="G55" s="164">
        <f>SUM(G50:G54)</f>
        <v>3882.2115384615381</v>
      </c>
      <c r="H55" s="164"/>
      <c r="I55" s="164">
        <f>SUM(I50:I54)</f>
        <v>7151.4423076923085</v>
      </c>
      <c r="J55" s="164"/>
      <c r="K55" s="164">
        <f>SUM(K50:K54)</f>
        <v>8173.0769230769229</v>
      </c>
    </row>
    <row r="57" spans="2:11" ht="28.5" customHeight="1" x14ac:dyDescent="0.5">
      <c r="B57" s="161" t="s">
        <v>246</v>
      </c>
      <c r="C57" s="132"/>
      <c r="D57" s="150"/>
      <c r="E57" s="133" t="s">
        <v>247</v>
      </c>
      <c r="F57" s="132"/>
      <c r="G57" s="133" t="s">
        <v>248</v>
      </c>
      <c r="H57" s="132"/>
      <c r="I57" s="132" t="s">
        <v>249</v>
      </c>
      <c r="J57" s="132"/>
      <c r="K57" s="132"/>
    </row>
    <row r="58" spans="2:11" ht="18" customHeight="1" x14ac:dyDescent="0.5">
      <c r="B58" s="8" t="s">
        <v>250</v>
      </c>
      <c r="C58" s="162"/>
      <c r="D58" s="30"/>
      <c r="E58" s="162">
        <f>G27</f>
        <v>3</v>
      </c>
      <c r="F58" s="30"/>
      <c r="G58" s="162">
        <f>E55</f>
        <v>817.30769230769238</v>
      </c>
      <c r="H58" s="30"/>
      <c r="I58" s="137">
        <f>E58*G58</f>
        <v>2451.9230769230771</v>
      </c>
      <c r="J58" s="30"/>
      <c r="K58" s="137"/>
    </row>
    <row r="59" spans="2:11" ht="18" customHeight="1" x14ac:dyDescent="0.5">
      <c r="B59" s="8" t="s">
        <v>251</v>
      </c>
      <c r="C59" s="162"/>
      <c r="D59" s="30"/>
      <c r="E59" s="162">
        <f>G28</f>
        <v>12</v>
      </c>
      <c r="F59" s="30"/>
      <c r="G59" s="162">
        <f>G55</f>
        <v>3882.2115384615381</v>
      </c>
      <c r="H59" s="30"/>
      <c r="I59" s="137">
        <f t="shared" ref="I59:I61" si="5">E59*G59</f>
        <v>46586.538461538454</v>
      </c>
      <c r="J59" s="30"/>
      <c r="K59" s="137"/>
    </row>
    <row r="60" spans="2:11" ht="18" customHeight="1" x14ac:dyDescent="0.5">
      <c r="B60" s="8" t="s">
        <v>252</v>
      </c>
      <c r="C60" s="162"/>
      <c r="D60" s="30"/>
      <c r="E60" s="162">
        <f>G29</f>
        <v>16</v>
      </c>
      <c r="F60" s="30"/>
      <c r="G60" s="162">
        <f>I55</f>
        <v>7151.4423076923085</v>
      </c>
      <c r="H60" s="30"/>
      <c r="I60" s="137">
        <f t="shared" si="5"/>
        <v>114423.07692307694</v>
      </c>
      <c r="J60" s="30"/>
      <c r="K60" s="137"/>
    </row>
    <row r="61" spans="2:11" ht="18" customHeight="1" x14ac:dyDescent="0.5">
      <c r="B61" s="8" t="s">
        <v>253</v>
      </c>
      <c r="C61" s="162"/>
      <c r="D61" s="30"/>
      <c r="E61" s="162">
        <f>G30</f>
        <v>18</v>
      </c>
      <c r="F61" s="30"/>
      <c r="G61" s="162">
        <f>K55</f>
        <v>8173.0769230769229</v>
      </c>
      <c r="H61" s="30"/>
      <c r="I61" s="137">
        <f t="shared" si="5"/>
        <v>147115.38461538462</v>
      </c>
      <c r="J61" s="30"/>
      <c r="K61" s="137"/>
    </row>
    <row r="62" spans="2:11" s="72" customFormat="1" ht="18" customHeight="1" x14ac:dyDescent="0.5">
      <c r="B62" s="163"/>
      <c r="C62" s="164"/>
      <c r="D62" s="163"/>
      <c r="E62" s="164"/>
      <c r="F62" s="165"/>
      <c r="G62" s="164"/>
      <c r="H62" s="164"/>
      <c r="I62" s="164"/>
      <c r="J62" s="164"/>
      <c r="K62" s="164"/>
    </row>
    <row r="64" spans="2:11" ht="28.5" customHeight="1" x14ac:dyDescent="0.5">
      <c r="B64" s="161" t="s">
        <v>255</v>
      </c>
      <c r="C64" s="132"/>
      <c r="D64" s="150"/>
      <c r="E64" s="133" t="s">
        <v>12</v>
      </c>
      <c r="F64" s="132"/>
      <c r="G64" s="133" t="s">
        <v>13</v>
      </c>
      <c r="H64" s="132"/>
      <c r="I64" s="132" t="s">
        <v>21</v>
      </c>
      <c r="J64" s="132"/>
      <c r="K64" s="132"/>
    </row>
    <row r="65" spans="2:11" ht="18" customHeight="1" x14ac:dyDescent="0.5">
      <c r="B65" s="8"/>
      <c r="C65" s="162"/>
      <c r="D65" s="30"/>
      <c r="E65" s="162">
        <f>SUM(I58:I61)</f>
        <v>310576.92307692312</v>
      </c>
      <c r="F65" s="30"/>
      <c r="G65" s="162">
        <f>52*G61</f>
        <v>425000</v>
      </c>
      <c r="H65" s="30"/>
      <c r="I65" s="137">
        <f>52*G61</f>
        <v>425000</v>
      </c>
      <c r="J65" s="30"/>
      <c r="K65" s="137"/>
    </row>
    <row r="66" spans="2:11" s="72" customFormat="1" ht="18" customHeight="1" x14ac:dyDescent="0.5">
      <c r="B66" s="163"/>
      <c r="C66" s="164"/>
      <c r="D66" s="163"/>
      <c r="E66" s="164"/>
      <c r="F66" s="165"/>
      <c r="G66" s="164"/>
      <c r="H66" s="164"/>
      <c r="I66" s="164"/>
      <c r="J66" s="164"/>
      <c r="K66" s="16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R30"/>
  <sheetViews>
    <sheetView showGridLines="0" topLeftCell="A4" workbookViewId="0">
      <selection activeCell="N22" sqref="N22"/>
    </sheetView>
  </sheetViews>
  <sheetFormatPr defaultColWidth="9.1171875" defaultRowHeight="18" customHeight="1" x14ac:dyDescent="0.5"/>
  <cols>
    <col min="1" max="1" width="5" style="1" customWidth="1"/>
    <col min="2" max="2" width="45.87890625" style="1" customWidth="1"/>
    <col min="3" max="3" width="5" style="1" customWidth="1"/>
    <col min="4" max="4" width="15.87890625" style="1" customWidth="1"/>
    <col min="5" max="5" width="2.703125" style="1" customWidth="1"/>
    <col min="6" max="6" width="17.703125" style="1" customWidth="1"/>
    <col min="7" max="7" width="2.703125" style="1" customWidth="1"/>
    <col min="8" max="8" width="15.87890625" style="1" customWidth="1"/>
    <col min="9" max="9" width="2.703125" style="1" customWidth="1"/>
    <col min="10" max="10" width="15.29296875" style="1" customWidth="1"/>
    <col min="11" max="17" width="9.1171875" style="1"/>
    <col min="18" max="18" width="14.29296875" style="1" bestFit="1" customWidth="1"/>
    <col min="19" max="16384" width="9.1171875" style="1"/>
  </cols>
  <sheetData>
    <row r="1" spans="2:12" ht="18" customHeight="1" x14ac:dyDescent="0.6">
      <c r="B1" s="38" t="s">
        <v>94</v>
      </c>
    </row>
    <row r="2" spans="2:12" ht="18" customHeight="1" x14ac:dyDescent="0.5">
      <c r="B2" s="21" t="s">
        <v>185</v>
      </c>
    </row>
    <row r="3" spans="2:12" ht="18" customHeight="1" x14ac:dyDescent="0.5">
      <c r="B3" s="118" t="s">
        <v>176</v>
      </c>
    </row>
    <row r="4" spans="2:12" ht="18" customHeight="1" x14ac:dyDescent="0.5">
      <c r="B4" s="21"/>
    </row>
    <row r="5" spans="2:12" ht="18" customHeight="1" x14ac:dyDescent="0.5">
      <c r="B5" s="5" t="s">
        <v>95</v>
      </c>
      <c r="C5" s="5"/>
      <c r="D5" s="53" t="s">
        <v>9</v>
      </c>
      <c r="E5" s="4"/>
      <c r="F5" s="53" t="s">
        <v>12</v>
      </c>
      <c r="G5" s="28"/>
      <c r="H5" s="53" t="s">
        <v>13</v>
      </c>
      <c r="I5" s="28"/>
      <c r="J5" s="53" t="s">
        <v>21</v>
      </c>
    </row>
    <row r="6" spans="2:12" ht="18" customHeight="1" x14ac:dyDescent="0.5">
      <c r="B6" s="8" t="s">
        <v>104</v>
      </c>
      <c r="C6" s="11"/>
      <c r="D6" s="107">
        <v>2000000</v>
      </c>
      <c r="E6" s="11"/>
      <c r="F6" s="52">
        <f>D6</f>
        <v>2000000</v>
      </c>
      <c r="G6" s="28"/>
      <c r="H6" s="52">
        <f>F6+(F6*D16)</f>
        <v>2100000</v>
      </c>
      <c r="I6" s="54"/>
      <c r="J6" s="55">
        <f>H6+(H6*D16)</f>
        <v>2205000</v>
      </c>
    </row>
    <row r="7" spans="2:12" ht="18" customHeight="1" x14ac:dyDescent="0.5">
      <c r="B7" s="8" t="s">
        <v>105</v>
      </c>
      <c r="C7" s="11"/>
      <c r="D7" s="107">
        <v>2000000</v>
      </c>
      <c r="E7" s="11"/>
      <c r="F7" s="52">
        <f>D7</f>
        <v>2000000</v>
      </c>
      <c r="G7" s="28"/>
      <c r="H7" s="52">
        <f>F7+(F7*D16)</f>
        <v>2100000</v>
      </c>
      <c r="I7" s="54"/>
      <c r="J7" s="55">
        <f>H7+(H7*D16)</f>
        <v>2205000</v>
      </c>
      <c r="L7" s="122"/>
    </row>
    <row r="8" spans="2:12" ht="18" customHeight="1" x14ac:dyDescent="0.5">
      <c r="B8" s="40" t="s">
        <v>100</v>
      </c>
      <c r="C8" s="11"/>
      <c r="D8" s="41"/>
      <c r="E8" s="11"/>
      <c r="F8" s="52">
        <f>SUM(F6:F7)</f>
        <v>4000000</v>
      </c>
      <c r="G8" s="28"/>
      <c r="H8" s="52">
        <f>SUM(H6:H7)</f>
        <v>4200000</v>
      </c>
      <c r="I8" s="54"/>
      <c r="J8" s="52">
        <f>SUM(J6:J7)</f>
        <v>4410000</v>
      </c>
    </row>
    <row r="9" spans="2:12" ht="18" customHeight="1" x14ac:dyDescent="0.5">
      <c r="B9" s="40"/>
      <c r="C9" s="11"/>
      <c r="D9" s="41"/>
      <c r="E9" s="11"/>
      <c r="F9" s="52"/>
      <c r="G9" s="28"/>
      <c r="H9" s="52"/>
      <c r="I9" s="54"/>
      <c r="J9" s="52"/>
    </row>
    <row r="10" spans="2:12" ht="18" customHeight="1" x14ac:dyDescent="0.5">
      <c r="B10" s="25" t="s">
        <v>101</v>
      </c>
      <c r="C10" s="11"/>
      <c r="D10" s="108">
        <v>5</v>
      </c>
      <c r="E10" s="11"/>
      <c r="F10" s="52"/>
      <c r="G10" s="28"/>
      <c r="H10" s="52"/>
      <c r="I10" s="54"/>
      <c r="J10" s="52"/>
    </row>
    <row r="11" spans="2:12" ht="18" customHeight="1" x14ac:dyDescent="0.5">
      <c r="B11" s="8" t="s">
        <v>96</v>
      </c>
      <c r="C11" s="11"/>
      <c r="D11" s="107">
        <v>350000</v>
      </c>
      <c r="E11" s="11"/>
      <c r="F11" s="52">
        <f>D11</f>
        <v>350000</v>
      </c>
      <c r="G11" s="28"/>
      <c r="H11" s="52">
        <f>F11+(F11*D16)</f>
        <v>367500</v>
      </c>
      <c r="I11" s="54"/>
      <c r="J11" s="55">
        <f>H11+(H11*D16)</f>
        <v>385875</v>
      </c>
    </row>
    <row r="12" spans="2:12" ht="18" customHeight="1" x14ac:dyDescent="0.5">
      <c r="B12" s="8"/>
      <c r="C12" s="11"/>
      <c r="D12" s="41"/>
      <c r="E12" s="11"/>
      <c r="F12" s="52"/>
      <c r="G12" s="28"/>
      <c r="H12" s="52"/>
      <c r="I12" s="54"/>
      <c r="J12" s="55"/>
    </row>
    <row r="13" spans="2:12" ht="18" customHeight="1" x14ac:dyDescent="0.5">
      <c r="B13" s="57" t="s">
        <v>102</v>
      </c>
      <c r="C13" s="11"/>
      <c r="D13" s="41"/>
      <c r="E13" s="11"/>
      <c r="F13" s="52">
        <f>F8/D10</f>
        <v>800000</v>
      </c>
      <c r="G13" s="28"/>
      <c r="H13" s="52">
        <f>H8/D10</f>
        <v>840000</v>
      </c>
      <c r="I13" s="54"/>
      <c r="J13" s="55">
        <f>J8/D10</f>
        <v>882000</v>
      </c>
    </row>
    <row r="14" spans="2:12" ht="18" customHeight="1" x14ac:dyDescent="0.5">
      <c r="B14" s="57" t="s">
        <v>106</v>
      </c>
      <c r="C14" s="11"/>
      <c r="D14" s="41"/>
      <c r="E14" s="11"/>
      <c r="F14" s="52">
        <f>F11+F13</f>
        <v>1150000</v>
      </c>
      <c r="G14" s="28"/>
      <c r="H14" s="52">
        <f>H11+H13</f>
        <v>1207500</v>
      </c>
      <c r="I14" s="54"/>
      <c r="J14" s="52">
        <f>J11+J13</f>
        <v>1267875</v>
      </c>
    </row>
    <row r="15" spans="2:12" ht="18" customHeight="1" x14ac:dyDescent="0.5">
      <c r="B15" s="8"/>
      <c r="C15" s="11"/>
      <c r="D15" s="41"/>
      <c r="E15" s="11"/>
      <c r="F15" s="52"/>
      <c r="G15" s="28"/>
      <c r="H15" s="52"/>
      <c r="I15" s="54"/>
      <c r="J15" s="55"/>
    </row>
    <row r="16" spans="2:12" ht="18" customHeight="1" x14ac:dyDescent="0.5">
      <c r="B16" s="8" t="s">
        <v>98</v>
      </c>
      <c r="C16" s="11"/>
      <c r="D16" s="109">
        <v>0.05</v>
      </c>
      <c r="E16" s="11"/>
      <c r="F16" s="11"/>
      <c r="G16" s="11"/>
      <c r="H16" s="11"/>
    </row>
    <row r="17" spans="2:18" ht="18" customHeight="1" x14ac:dyDescent="0.5">
      <c r="B17" s="8" t="s">
        <v>97</v>
      </c>
      <c r="C17" s="11"/>
      <c r="D17" s="119">
        <v>0.15</v>
      </c>
      <c r="E17" s="11"/>
      <c r="F17" s="11"/>
      <c r="G17" s="11"/>
      <c r="H17" s="11"/>
      <c r="L17" s="122"/>
    </row>
    <row r="18" spans="2:18" ht="18" customHeight="1" x14ac:dyDescent="0.5">
      <c r="B18" s="57" t="s">
        <v>107</v>
      </c>
      <c r="C18" s="11"/>
      <c r="D18" s="4"/>
      <c r="E18" s="11"/>
      <c r="F18" s="52">
        <f>(1-D17)*F14</f>
        <v>977500</v>
      </c>
      <c r="G18" s="28"/>
      <c r="H18" s="52">
        <f>(1-D17)*H14</f>
        <v>1026375</v>
      </c>
      <c r="I18" s="54"/>
      <c r="J18" s="55">
        <f>(1-D17)*J14</f>
        <v>1077693.75</v>
      </c>
    </row>
    <row r="19" spans="2:18" ht="18" customHeight="1" x14ac:dyDescent="0.5">
      <c r="B19" s="5"/>
      <c r="C19" s="5"/>
      <c r="D19" s="4"/>
      <c r="E19" s="4"/>
      <c r="G19" s="4"/>
      <c r="H19" s="4"/>
      <c r="I19" s="4"/>
      <c r="J19" s="4"/>
    </row>
    <row r="20" spans="2:18" s="24" customFormat="1" ht="18" customHeight="1" x14ac:dyDescent="0.5">
      <c r="B20" s="48" t="s">
        <v>99</v>
      </c>
      <c r="C20" s="49"/>
      <c r="D20" s="49"/>
      <c r="E20" s="49"/>
      <c r="F20" s="50" t="s">
        <v>12</v>
      </c>
      <c r="G20" s="50"/>
      <c r="H20" s="50" t="s">
        <v>13</v>
      </c>
      <c r="I20" s="50"/>
      <c r="J20" s="50" t="s">
        <v>21</v>
      </c>
    </row>
    <row r="21" spans="2:18" ht="18" customHeight="1" x14ac:dyDescent="0.5">
      <c r="B21" s="22" t="s">
        <v>186</v>
      </c>
      <c r="C21" s="17"/>
      <c r="D21" s="16"/>
      <c r="E21" s="11"/>
      <c r="F21" s="125">
        <v>0.3</v>
      </c>
      <c r="G21" s="126"/>
      <c r="H21" s="125">
        <v>0.4</v>
      </c>
      <c r="I21" s="126"/>
      <c r="J21" s="125">
        <v>0.5</v>
      </c>
      <c r="L21" s="122"/>
    </row>
    <row r="22" spans="2:18" ht="18" customHeight="1" x14ac:dyDescent="0.5">
      <c r="B22" s="6"/>
      <c r="C22" s="11"/>
      <c r="D22" s="19"/>
      <c r="E22" s="11"/>
      <c r="F22" s="19"/>
      <c r="G22" s="11"/>
      <c r="H22" s="11"/>
      <c r="I22" s="11"/>
      <c r="J22" s="11"/>
      <c r="R22" s="123"/>
    </row>
    <row r="23" spans="2:18" ht="18" customHeight="1" x14ac:dyDescent="0.5">
      <c r="B23" s="5" t="s">
        <v>10</v>
      </c>
      <c r="C23" s="13"/>
      <c r="D23" s="19"/>
      <c r="E23" s="11"/>
      <c r="F23" s="19"/>
      <c r="G23" s="11"/>
      <c r="H23" s="11"/>
      <c r="I23" s="11"/>
      <c r="J23" s="11"/>
      <c r="R23" s="123"/>
    </row>
    <row r="24" spans="2:18" s="24" customFormat="1" ht="18" customHeight="1" x14ac:dyDescent="0.5">
      <c r="B24" s="48" t="s">
        <v>103</v>
      </c>
      <c r="C24" s="49"/>
      <c r="D24" s="50"/>
      <c r="E24" s="50"/>
      <c r="F24" s="50" t="s">
        <v>12</v>
      </c>
      <c r="G24" s="50"/>
      <c r="H24" s="50" t="s">
        <v>13</v>
      </c>
      <c r="I24" s="50"/>
      <c r="J24" s="50" t="s">
        <v>21</v>
      </c>
      <c r="R24" s="124"/>
    </row>
    <row r="25" spans="2:18" s="69" customFormat="1" ht="18" customHeight="1" x14ac:dyDescent="0.5">
      <c r="B25" s="27" t="s">
        <v>187</v>
      </c>
      <c r="C25" s="29"/>
      <c r="D25" s="68"/>
      <c r="E25" s="29"/>
      <c r="F25" s="58">
        <f>(F21-D17)*F14</f>
        <v>172500</v>
      </c>
      <c r="G25" s="59"/>
      <c r="H25" s="58">
        <f>(H21-D17)*H14</f>
        <v>301875</v>
      </c>
      <c r="I25" s="58"/>
      <c r="J25" s="58">
        <f>(J21-D17)*J14</f>
        <v>443756.25</v>
      </c>
    </row>
    <row r="26" spans="2:18" ht="18" customHeight="1" x14ac:dyDescent="0.5">
      <c r="B26" s="4"/>
      <c r="C26" s="11"/>
      <c r="D26" s="11"/>
      <c r="E26" s="11"/>
      <c r="F26" s="11"/>
      <c r="G26" s="11"/>
      <c r="H26" s="11"/>
      <c r="I26" s="11"/>
      <c r="J26" s="11"/>
    </row>
    <row r="27" spans="2:18" ht="18" customHeight="1" x14ac:dyDescent="0.5">
      <c r="B27" s="4"/>
      <c r="C27" s="4"/>
      <c r="D27" s="4"/>
      <c r="E27" s="4"/>
      <c r="F27" s="4"/>
      <c r="G27" s="4"/>
      <c r="H27" s="4"/>
      <c r="I27" s="4"/>
      <c r="J27" s="4"/>
    </row>
    <row r="28" spans="2:18" ht="18" customHeight="1" x14ac:dyDescent="0.5">
      <c r="D28" t="s">
        <v>23</v>
      </c>
    </row>
    <row r="30" spans="2:18" ht="18" customHeight="1" x14ac:dyDescent="0.5">
      <c r="D30" t="s">
        <v>23</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F21"/>
  <sheetViews>
    <sheetView showGridLines="0" workbookViewId="0">
      <selection activeCell="H11" sqref="H11"/>
    </sheetView>
  </sheetViews>
  <sheetFormatPr defaultColWidth="9.1171875" defaultRowHeight="18" customHeight="1" x14ac:dyDescent="0.5"/>
  <cols>
    <col min="1" max="1" width="5" style="1" customWidth="1"/>
    <col min="2" max="2" width="67" style="1" customWidth="1"/>
    <col min="3" max="3" width="3.87890625" style="1" customWidth="1"/>
    <col min="4" max="4" width="15.87890625" style="54" customWidth="1"/>
    <col min="5" max="16384" width="9.1171875" style="1"/>
  </cols>
  <sheetData>
    <row r="1" spans="2:6" ht="18" customHeight="1" x14ac:dyDescent="0.6">
      <c r="B1" s="38" t="s">
        <v>108</v>
      </c>
    </row>
    <row r="2" spans="2:6" ht="18" customHeight="1" x14ac:dyDescent="0.5">
      <c r="B2" s="21" t="s">
        <v>167</v>
      </c>
      <c r="D2" s="1"/>
    </row>
    <row r="3" spans="2:6" ht="18" customHeight="1" x14ac:dyDescent="0.5">
      <c r="B3" s="21" t="s">
        <v>181</v>
      </c>
      <c r="D3" s="1"/>
    </row>
    <row r="4" spans="2:6" ht="18" customHeight="1" x14ac:dyDescent="0.5">
      <c r="B4" s="21"/>
      <c r="D4" s="1"/>
    </row>
    <row r="5" spans="2:6" ht="18" customHeight="1" x14ac:dyDescent="0.5">
      <c r="B5" s="5" t="s">
        <v>111</v>
      </c>
      <c r="C5" s="5"/>
      <c r="D5" s="53"/>
    </row>
    <row r="6" spans="2:6" ht="18" customHeight="1" x14ac:dyDescent="0.5">
      <c r="B6" s="2" t="s">
        <v>114</v>
      </c>
      <c r="C6" s="14"/>
      <c r="D6" s="50"/>
    </row>
    <row r="7" spans="2:6" ht="18" customHeight="1" x14ac:dyDescent="0.5">
      <c r="B7" s="21" t="s">
        <v>110</v>
      </c>
      <c r="C7" s="15"/>
      <c r="D7" s="104">
        <v>25000</v>
      </c>
      <c r="F7" s="122"/>
    </row>
    <row r="8" spans="2:6" ht="18" customHeight="1" x14ac:dyDescent="0.5">
      <c r="B8" s="60" t="s">
        <v>113</v>
      </c>
      <c r="C8" s="15"/>
      <c r="D8" s="52">
        <f>D7*12</f>
        <v>300000</v>
      </c>
    </row>
    <row r="9" spans="2:6" ht="18" customHeight="1" x14ac:dyDescent="0.5">
      <c r="B9" s="60"/>
      <c r="C9" s="15"/>
      <c r="D9" s="52"/>
    </row>
    <row r="10" spans="2:6" ht="18" customHeight="1" x14ac:dyDescent="0.5">
      <c r="B10" s="7" t="s">
        <v>5</v>
      </c>
      <c r="C10" s="18"/>
      <c r="D10" s="61"/>
    </row>
    <row r="11" spans="2:6" ht="18" customHeight="1" x14ac:dyDescent="0.5">
      <c r="B11" s="10" t="s">
        <v>109</v>
      </c>
      <c r="C11" s="11"/>
      <c r="D11" s="110">
        <v>0.1</v>
      </c>
    </row>
    <row r="12" spans="2:6" ht="18" customHeight="1" x14ac:dyDescent="0.5">
      <c r="B12" s="6" t="s">
        <v>3</v>
      </c>
      <c r="C12" s="11"/>
      <c r="D12" s="110">
        <v>0.5</v>
      </c>
    </row>
    <row r="13" spans="2:6" ht="18" customHeight="1" x14ac:dyDescent="0.5">
      <c r="B13" s="7" t="s">
        <v>112</v>
      </c>
      <c r="C13" s="18"/>
      <c r="D13" s="61"/>
    </row>
    <row r="14" spans="2:6" ht="18" customHeight="1" x14ac:dyDescent="0.5">
      <c r="B14" s="6" t="s">
        <v>22</v>
      </c>
      <c r="C14" s="11"/>
      <c r="D14" s="110">
        <v>0.2</v>
      </c>
      <c r="F14" s="122"/>
    </row>
    <row r="15" spans="2:6" ht="18" customHeight="1" x14ac:dyDescent="0.5">
      <c r="B15" s="6"/>
      <c r="C15" s="11"/>
      <c r="D15" s="52"/>
    </row>
    <row r="16" spans="2:6" ht="18" customHeight="1" x14ac:dyDescent="0.5">
      <c r="B16" s="5" t="s">
        <v>10</v>
      </c>
      <c r="C16" s="13"/>
      <c r="D16" s="52"/>
    </row>
    <row r="17" spans="2:4" ht="18" customHeight="1" x14ac:dyDescent="0.5">
      <c r="B17" s="2" t="s">
        <v>115</v>
      </c>
      <c r="C17" s="14"/>
      <c r="D17" s="50" t="s">
        <v>12</v>
      </c>
    </row>
    <row r="18" spans="2:4" ht="18" customHeight="1" x14ac:dyDescent="0.5">
      <c r="B18" s="8" t="s">
        <v>116</v>
      </c>
      <c r="C18" s="11"/>
      <c r="D18" s="52">
        <f>(D7*D11*D12) + (D7*D11*D14*(1-D12))</f>
        <v>1500</v>
      </c>
    </row>
    <row r="19" spans="2:4" ht="18" customHeight="1" x14ac:dyDescent="0.5">
      <c r="B19" s="8" t="s">
        <v>117</v>
      </c>
      <c r="C19" s="11"/>
      <c r="D19" s="52">
        <f>D18*12</f>
        <v>18000</v>
      </c>
    </row>
    <row r="20" spans="2:4" ht="18" customHeight="1" x14ac:dyDescent="0.5">
      <c r="B20" s="4"/>
      <c r="C20" s="11"/>
      <c r="D20" s="28"/>
    </row>
    <row r="21" spans="2:4" s="35" customFormat="1" ht="18" customHeight="1" x14ac:dyDescent="0.6">
      <c r="B21" s="62" t="s">
        <v>118</v>
      </c>
      <c r="D21" s="63">
        <f>D19</f>
        <v>18000</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L43"/>
  <sheetViews>
    <sheetView showGridLines="0" topLeftCell="A26" workbookViewId="0">
      <selection activeCell="G37" sqref="G37"/>
    </sheetView>
  </sheetViews>
  <sheetFormatPr defaultRowHeight="20.100000000000001" customHeight="1" x14ac:dyDescent="0.5"/>
  <cols>
    <col min="1" max="1" width="6.1171875" customWidth="1"/>
    <col min="2" max="2" width="58.5859375" customWidth="1"/>
    <col min="3" max="3" width="17" customWidth="1"/>
    <col min="4" max="4" width="20.5859375" customWidth="1"/>
    <col min="12" max="12" width="14.87890625" bestFit="1" customWidth="1"/>
  </cols>
  <sheetData>
    <row r="1" spans="2:4" s="1" customFormat="1" ht="18" customHeight="1" x14ac:dyDescent="0.6">
      <c r="B1" s="38" t="s">
        <v>119</v>
      </c>
      <c r="D1" s="54"/>
    </row>
    <row r="2" spans="2:4" s="1" customFormat="1" ht="18" customHeight="1" x14ac:dyDescent="0.5">
      <c r="B2" s="21" t="s">
        <v>188</v>
      </c>
    </row>
    <row r="3" spans="2:4" s="1" customFormat="1" ht="18" customHeight="1" x14ac:dyDescent="0.5">
      <c r="B3" s="21" t="s">
        <v>189</v>
      </c>
    </row>
    <row r="4" spans="2:4" s="1" customFormat="1" ht="18" customHeight="1" x14ac:dyDescent="0.5">
      <c r="B4" s="21" t="s">
        <v>169</v>
      </c>
    </row>
    <row r="5" spans="2:4" s="1" customFormat="1" ht="18" customHeight="1" x14ac:dyDescent="0.5">
      <c r="B5" s="21"/>
    </row>
    <row r="6" spans="2:4" s="1" customFormat="1" ht="18" customHeight="1" x14ac:dyDescent="0.5">
      <c r="B6" s="21" t="s">
        <v>178</v>
      </c>
    </row>
    <row r="7" spans="2:4" s="1" customFormat="1" ht="18" customHeight="1" x14ac:dyDescent="0.5">
      <c r="B7" s="21" t="s">
        <v>168</v>
      </c>
    </row>
    <row r="8" spans="2:4" s="1" customFormat="1" ht="18" customHeight="1" x14ac:dyDescent="0.5">
      <c r="B8" s="21"/>
    </row>
    <row r="9" spans="2:4" s="1" customFormat="1" ht="18" customHeight="1" x14ac:dyDescent="0.5">
      <c r="B9" s="4"/>
      <c r="C9" s="4"/>
      <c r="D9" s="28"/>
    </row>
    <row r="33" spans="2:12" s="24" customFormat="1" ht="20.100000000000001" customHeight="1" x14ac:dyDescent="0.5">
      <c r="B33" s="23" t="s">
        <v>34</v>
      </c>
      <c r="C33" s="23"/>
      <c r="D33" s="104">
        <v>135000</v>
      </c>
      <c r="E33" s="23"/>
      <c r="F33" s="23"/>
      <c r="G33" s="23"/>
      <c r="H33" s="23"/>
      <c r="I33" s="23"/>
      <c r="J33" s="23"/>
      <c r="K33" s="21"/>
    </row>
    <row r="34" spans="2:12" s="24" customFormat="1" ht="20.100000000000001" customHeight="1" x14ac:dyDescent="0.5">
      <c r="B34" s="6" t="s">
        <v>120</v>
      </c>
      <c r="C34" s="23"/>
      <c r="D34" s="103">
        <v>2</v>
      </c>
      <c r="E34" s="23"/>
      <c r="F34" s="23"/>
      <c r="G34" s="23"/>
      <c r="H34" s="23"/>
      <c r="I34" s="23"/>
      <c r="J34" s="23"/>
      <c r="K34" s="21"/>
    </row>
    <row r="35" spans="2:12" s="24" customFormat="1" ht="20.100000000000001" customHeight="1" x14ac:dyDescent="0.5">
      <c r="B35" s="6" t="s">
        <v>121</v>
      </c>
      <c r="C35" s="23"/>
      <c r="D35" s="103">
        <v>1</v>
      </c>
      <c r="E35" s="23"/>
      <c r="F35" s="23"/>
      <c r="G35" s="23"/>
      <c r="H35" s="23"/>
      <c r="I35" s="23"/>
      <c r="J35" s="23"/>
      <c r="K35" s="21"/>
    </row>
    <row r="36" spans="2:12" s="24" customFormat="1" ht="20.100000000000001" customHeight="1" x14ac:dyDescent="0.5">
      <c r="B36" s="10"/>
      <c r="C36" s="23"/>
      <c r="D36" s="28"/>
      <c r="E36" s="23"/>
      <c r="F36" s="23"/>
      <c r="G36" s="23"/>
      <c r="H36" s="23"/>
      <c r="I36" s="23"/>
      <c r="J36" s="23"/>
      <c r="K36" s="21"/>
    </row>
    <row r="37" spans="2:12" s="24" customFormat="1" ht="20.100000000000001" customHeight="1" x14ac:dyDescent="0.5">
      <c r="B37" s="6" t="s">
        <v>35</v>
      </c>
      <c r="C37" s="23"/>
      <c r="D37" s="104">
        <f>D33*((D35*(((3*(D34/2))-D35)))/(2*(((D34/2)^2))))</f>
        <v>135000</v>
      </c>
      <c r="E37" s="23"/>
      <c r="F37" s="23"/>
      <c r="G37" s="23"/>
      <c r="H37" s="23"/>
      <c r="I37" s="23"/>
      <c r="J37" s="23"/>
    </row>
    <row r="38" spans="2:12" ht="20.100000000000001" customHeight="1" x14ac:dyDescent="0.5">
      <c r="B38" s="21"/>
      <c r="C38" s="21"/>
      <c r="D38" s="21"/>
      <c r="K38" s="21"/>
    </row>
    <row r="39" spans="2:12" s="21" customFormat="1" ht="20.100000000000001" customHeight="1" x14ac:dyDescent="0.5">
      <c r="B39" s="21" t="s">
        <v>123</v>
      </c>
      <c r="D39" s="111">
        <v>0.1</v>
      </c>
    </row>
    <row r="40" spans="2:12" ht="20.100000000000001" customHeight="1" x14ac:dyDescent="0.5">
      <c r="B40" s="21" t="s">
        <v>195</v>
      </c>
      <c r="D40" s="75">
        <f>Productivity!H21</f>
        <v>0.87314285714285711</v>
      </c>
      <c r="K40" s="21"/>
      <c r="L40" s="26"/>
    </row>
    <row r="41" spans="2:12" ht="20.100000000000001" customHeight="1" x14ac:dyDescent="0.5">
      <c r="B41" s="21" t="s">
        <v>190</v>
      </c>
      <c r="D41" s="77">
        <f>D40*D39*D37</f>
        <v>11787.428571428572</v>
      </c>
    </row>
    <row r="42" spans="2:12" ht="20.100000000000001" customHeight="1" x14ac:dyDescent="0.5">
      <c r="B42" s="21"/>
      <c r="D42" s="77"/>
    </row>
    <row r="43" spans="2:12" s="35" customFormat="1" ht="20.100000000000001" customHeight="1" x14ac:dyDescent="0.6">
      <c r="B43" s="100" t="s">
        <v>191</v>
      </c>
      <c r="D43" s="63">
        <f>D41/D34*12</f>
        <v>70724.571428571435</v>
      </c>
    </row>
  </sheetData>
  <pageMargins left="0.7" right="0.7" top="0.75" bottom="0.75" header="0.3" footer="0.3"/>
  <pageSetup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J27"/>
  <sheetViews>
    <sheetView showGridLines="0" workbookViewId="0">
      <selection activeCell="D28" sqref="D28"/>
    </sheetView>
  </sheetViews>
  <sheetFormatPr defaultRowHeight="14.35" x14ac:dyDescent="0.5"/>
  <cols>
    <col min="1" max="1" width="4.41015625" customWidth="1"/>
    <col min="2" max="2" width="6.29296875" customWidth="1"/>
    <col min="3" max="3" width="67" customWidth="1"/>
    <col min="4" max="4" width="20" style="76" customWidth="1"/>
    <col min="5" max="5" width="26.29296875" customWidth="1"/>
    <col min="7" max="7" width="33.41015625" customWidth="1"/>
    <col min="8" max="10" width="25.1171875" customWidth="1"/>
  </cols>
  <sheetData>
    <row r="1" spans="2:10" s="1" customFormat="1" ht="18" customHeight="1" x14ac:dyDescent="0.6">
      <c r="B1" s="38" t="s">
        <v>124</v>
      </c>
      <c r="D1" s="54"/>
      <c r="E1" s="54"/>
    </row>
    <row r="2" spans="2:10" s="1" customFormat="1" ht="18" customHeight="1" x14ac:dyDescent="0.5">
      <c r="B2" s="21" t="s">
        <v>192</v>
      </c>
    </row>
    <row r="3" spans="2:10" s="1" customFormat="1" ht="18" customHeight="1" x14ac:dyDescent="0.5">
      <c r="B3" s="21" t="s">
        <v>170</v>
      </c>
    </row>
    <row r="4" spans="2:10" s="1" customFormat="1" ht="18" customHeight="1" x14ac:dyDescent="0.5">
      <c r="B4" s="21" t="s">
        <v>172</v>
      </c>
    </row>
    <row r="5" spans="2:10" s="1" customFormat="1" ht="18" customHeight="1" x14ac:dyDescent="0.5">
      <c r="B5" s="21"/>
    </row>
    <row r="6" spans="2:10" s="1" customFormat="1" ht="18" customHeight="1" x14ac:dyDescent="0.5">
      <c r="B6" s="21" t="s">
        <v>179</v>
      </c>
    </row>
    <row r="7" spans="2:10" s="1" customFormat="1" ht="18" customHeight="1" x14ac:dyDescent="0.5">
      <c r="B7" s="21" t="s">
        <v>173</v>
      </c>
    </row>
    <row r="9" spans="2:10" ht="18" x14ac:dyDescent="0.6">
      <c r="B9" s="31" t="s">
        <v>45</v>
      </c>
      <c r="C9" s="31"/>
      <c r="D9" s="78"/>
    </row>
    <row r="10" spans="2:10" s="1" customFormat="1" ht="18" customHeight="1" x14ac:dyDescent="0.5">
      <c r="B10" s="3"/>
      <c r="C10" s="30" t="s">
        <v>36</v>
      </c>
      <c r="D10" s="103">
        <v>6.5</v>
      </c>
      <c r="E10" s="121" t="s">
        <v>201</v>
      </c>
      <c r="F10" s="11"/>
      <c r="G10" s="11"/>
      <c r="H10" s="11"/>
      <c r="I10" s="11"/>
      <c r="J10" s="11"/>
    </row>
    <row r="11" spans="2:10" s="1" customFormat="1" ht="18" customHeight="1" x14ac:dyDescent="0.5">
      <c r="B11" s="3"/>
      <c r="C11" s="30" t="s">
        <v>38</v>
      </c>
      <c r="D11" s="112">
        <v>125000</v>
      </c>
      <c r="E11" s="11"/>
      <c r="F11" s="11"/>
      <c r="G11" s="11"/>
      <c r="H11" s="11"/>
      <c r="I11" s="11"/>
      <c r="J11" s="11"/>
    </row>
    <row r="12" spans="2:10" s="1" customFormat="1" ht="18" customHeight="1" x14ac:dyDescent="0.5">
      <c r="B12" s="3"/>
      <c r="C12" s="30" t="s">
        <v>37</v>
      </c>
      <c r="D12" s="111">
        <v>0.95</v>
      </c>
      <c r="E12" s="11"/>
      <c r="F12" s="11"/>
      <c r="G12" s="11"/>
      <c r="H12" s="11"/>
      <c r="I12" s="11"/>
      <c r="J12" s="11"/>
    </row>
    <row r="13" spans="2:10" s="1" customFormat="1" ht="18" customHeight="1" x14ac:dyDescent="0.5">
      <c r="B13" s="3"/>
      <c r="C13" s="30" t="s">
        <v>39</v>
      </c>
      <c r="D13" s="103">
        <v>72</v>
      </c>
      <c r="E13" s="11"/>
      <c r="F13" s="11"/>
      <c r="G13" s="11"/>
      <c r="H13" s="11"/>
      <c r="I13" s="11"/>
      <c r="J13" s="11"/>
    </row>
    <row r="14" spans="2:10" s="1" customFormat="1" ht="18" customHeight="1" x14ac:dyDescent="0.5">
      <c r="B14" s="3"/>
      <c r="C14" s="30" t="s">
        <v>40</v>
      </c>
      <c r="D14" s="111">
        <v>1</v>
      </c>
      <c r="E14" s="121" t="s">
        <v>200</v>
      </c>
      <c r="F14" s="11"/>
      <c r="G14" s="11"/>
      <c r="H14" s="11"/>
      <c r="I14" s="11"/>
      <c r="J14" s="11"/>
    </row>
    <row r="15" spans="2:10" s="1" customFormat="1" ht="18" customHeight="1" x14ac:dyDescent="0.5">
      <c r="B15" s="3"/>
      <c r="C15" s="30" t="s">
        <v>41</v>
      </c>
      <c r="D15" s="112">
        <v>578571</v>
      </c>
      <c r="E15" s="121" t="s">
        <v>198</v>
      </c>
      <c r="F15" s="11"/>
      <c r="G15" s="11"/>
      <c r="H15" s="11"/>
      <c r="I15" s="11"/>
      <c r="J15" s="11"/>
    </row>
    <row r="16" spans="2:10" s="1" customFormat="1" ht="18" customHeight="1" x14ac:dyDescent="0.5">
      <c r="B16" s="3"/>
      <c r="C16" s="30"/>
      <c r="D16" s="28"/>
      <c r="E16" s="11"/>
      <c r="F16" s="11"/>
      <c r="G16" s="11"/>
      <c r="H16" s="11"/>
      <c r="I16" s="11"/>
      <c r="J16" s="11"/>
    </row>
    <row r="17" spans="2:10" s="1" customFormat="1" ht="18" customHeight="1" x14ac:dyDescent="0.5">
      <c r="B17" s="3"/>
      <c r="C17" s="30" t="s">
        <v>43</v>
      </c>
      <c r="D17" s="79">
        <f>D10*D11*D12*((D13/(40*52)))</f>
        <v>26718.75</v>
      </c>
      <c r="E17" s="11"/>
      <c r="F17" s="11"/>
      <c r="G17" s="11"/>
      <c r="H17" s="11"/>
      <c r="I17" s="11"/>
      <c r="J17" s="11"/>
    </row>
    <row r="18" spans="2:10" s="1" customFormat="1" ht="18" customHeight="1" x14ac:dyDescent="0.5">
      <c r="B18" s="3"/>
      <c r="C18" s="30" t="s">
        <v>42</v>
      </c>
      <c r="D18" s="79">
        <f>D10*D15*D12*((D13/(40*52)))</f>
        <v>123669.55125</v>
      </c>
      <c r="E18" s="11"/>
      <c r="F18" s="11"/>
      <c r="G18" s="11"/>
      <c r="H18" s="11"/>
      <c r="I18" s="11"/>
      <c r="J18" s="11"/>
    </row>
    <row r="19" spans="2:10" s="1" customFormat="1" ht="18" customHeight="1" x14ac:dyDescent="0.5">
      <c r="B19" s="3"/>
      <c r="C19" s="30" t="s">
        <v>44</v>
      </c>
      <c r="D19" s="79">
        <f>D17+D18</f>
        <v>150388.30125000002</v>
      </c>
      <c r="E19" s="11"/>
      <c r="F19" s="11"/>
      <c r="G19" s="11"/>
      <c r="H19" s="11"/>
      <c r="I19" s="11"/>
      <c r="J19" s="11"/>
    </row>
    <row r="20" spans="2:10" s="1" customFormat="1" ht="18" customHeight="1" x14ac:dyDescent="0.5">
      <c r="B20" s="3"/>
      <c r="C20" s="30"/>
      <c r="D20" s="79"/>
      <c r="E20" s="11"/>
      <c r="F20" s="11"/>
      <c r="G20" s="11"/>
      <c r="H20" s="11"/>
      <c r="I20" s="11"/>
      <c r="J20" s="11"/>
    </row>
    <row r="21" spans="2:10" s="1" customFormat="1" ht="18" customHeight="1" x14ac:dyDescent="0.5">
      <c r="B21" s="3"/>
      <c r="C21" s="32" t="s">
        <v>46</v>
      </c>
      <c r="D21" s="80">
        <f>D19*D14</f>
        <v>150388.30125000002</v>
      </c>
      <c r="E21" s="121" t="s">
        <v>199</v>
      </c>
      <c r="F21" s="11"/>
      <c r="G21" s="11"/>
      <c r="H21" s="11"/>
      <c r="I21" s="11"/>
      <c r="J21" s="11"/>
    </row>
    <row r="24" spans="2:10" x14ac:dyDescent="0.5">
      <c r="C24" s="117" t="s">
        <v>171</v>
      </c>
    </row>
    <row r="27" spans="2:10" x14ac:dyDescent="0.5">
      <c r="C27" t="s">
        <v>23</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J29"/>
  <sheetViews>
    <sheetView showGridLines="0" workbookViewId="0">
      <selection activeCell="G25" sqref="G25"/>
    </sheetView>
  </sheetViews>
  <sheetFormatPr defaultColWidth="9.1171875" defaultRowHeight="18" customHeight="1" x14ac:dyDescent="0.5"/>
  <cols>
    <col min="1" max="1" width="6.1171875" style="1" customWidth="1"/>
    <col min="2" max="2" width="86.29296875" style="1" bestFit="1" customWidth="1"/>
    <col min="3" max="3" width="5.87890625" style="1" customWidth="1"/>
    <col min="4" max="4" width="15.87890625" style="1" customWidth="1"/>
    <col min="5" max="5" width="2.703125" style="1" customWidth="1"/>
    <col min="6" max="6" width="17.703125" style="1" customWidth="1"/>
    <col min="7" max="7" width="2.703125" style="1" customWidth="1"/>
    <col min="8" max="8" width="15.87890625" style="1" customWidth="1"/>
    <col min="9" max="9" width="2.703125" style="1" customWidth="1"/>
    <col min="10" max="10" width="15.29296875" style="1" customWidth="1"/>
    <col min="11" max="16384" width="9.1171875" style="1"/>
  </cols>
  <sheetData>
    <row r="1" spans="2:10" ht="18" customHeight="1" x14ac:dyDescent="0.6">
      <c r="B1" s="38" t="s">
        <v>202</v>
      </c>
      <c r="C1" s="54"/>
      <c r="D1" s="54"/>
    </row>
    <row r="2" spans="2:10" ht="18" customHeight="1" x14ac:dyDescent="0.5">
      <c r="B2" s="21" t="s">
        <v>196</v>
      </c>
    </row>
    <row r="3" spans="2:10" ht="18" customHeight="1" x14ac:dyDescent="0.5">
      <c r="B3" s="21" t="s">
        <v>193</v>
      </c>
    </row>
    <row r="4" spans="2:10" ht="18" customHeight="1" x14ac:dyDescent="0.5">
      <c r="B4" s="21" t="s">
        <v>194</v>
      </c>
    </row>
    <row r="5" spans="2:10" ht="18" customHeight="1" x14ac:dyDescent="0.5">
      <c r="B5" s="21"/>
    </row>
    <row r="6" spans="2:10" ht="18" customHeight="1" x14ac:dyDescent="0.5">
      <c r="B6" s="21" t="s">
        <v>180</v>
      </c>
    </row>
    <row r="8" spans="2:10" ht="18" customHeight="1" x14ac:dyDescent="0.5">
      <c r="B8" s="5" t="s">
        <v>125</v>
      </c>
      <c r="C8" s="5"/>
      <c r="D8" s="53" t="s">
        <v>9</v>
      </c>
      <c r="E8" s="4"/>
      <c r="F8" s="81" t="s">
        <v>184</v>
      </c>
      <c r="G8" s="4"/>
      <c r="H8" s="81" t="s">
        <v>139</v>
      </c>
    </row>
    <row r="9" spans="2:10" ht="18" customHeight="1" x14ac:dyDescent="0.5">
      <c r="B9" s="10" t="s">
        <v>133</v>
      </c>
      <c r="C9" s="11"/>
      <c r="D9" s="103">
        <v>2</v>
      </c>
      <c r="E9" s="28"/>
      <c r="F9" s="103">
        <v>20</v>
      </c>
      <c r="G9" s="11"/>
      <c r="H9" s="11"/>
      <c r="I9" s="11"/>
      <c r="J9" s="11"/>
    </row>
    <row r="10" spans="2:10" ht="18" customHeight="1" x14ac:dyDescent="0.5">
      <c r="B10" s="10" t="s">
        <v>134</v>
      </c>
      <c r="C10" s="11"/>
      <c r="D10" s="103">
        <v>6</v>
      </c>
      <c r="E10" s="28"/>
      <c r="F10" s="103">
        <v>0.1</v>
      </c>
      <c r="G10" s="11"/>
      <c r="H10" s="83">
        <f>(D10-F10)/D10</f>
        <v>0.98333333333333339</v>
      </c>
      <c r="I10" s="11"/>
      <c r="J10" s="11"/>
    </row>
    <row r="11" spans="2:10" ht="18" customHeight="1" x14ac:dyDescent="0.5">
      <c r="B11" s="10" t="s">
        <v>135</v>
      </c>
      <c r="C11" s="11"/>
      <c r="D11" s="103">
        <v>6</v>
      </c>
      <c r="E11" s="28"/>
      <c r="F11" s="103">
        <v>0.1</v>
      </c>
      <c r="G11" s="11"/>
      <c r="H11" s="83">
        <f>(D11-F11)/D11</f>
        <v>0.98333333333333339</v>
      </c>
      <c r="I11" s="11"/>
      <c r="J11" s="11"/>
    </row>
    <row r="12" spans="2:10" ht="18" customHeight="1" x14ac:dyDescent="0.5">
      <c r="B12" s="10" t="s">
        <v>197</v>
      </c>
      <c r="C12" s="11"/>
      <c r="D12" s="103">
        <v>1</v>
      </c>
      <c r="E12" s="28"/>
      <c r="F12" s="103">
        <v>0.1</v>
      </c>
      <c r="G12" s="11"/>
      <c r="H12" s="83">
        <f>(D12-F12)/D12</f>
        <v>0.9</v>
      </c>
      <c r="I12" s="11"/>
      <c r="J12" s="11"/>
    </row>
    <row r="13" spans="2:10" ht="18" customHeight="1" x14ac:dyDescent="0.5">
      <c r="B13" s="10" t="s">
        <v>126</v>
      </c>
      <c r="C13" s="11"/>
      <c r="D13" s="103">
        <v>1</v>
      </c>
      <c r="E13" s="28"/>
      <c r="F13" s="103">
        <v>1</v>
      </c>
      <c r="G13" s="11"/>
      <c r="H13" s="83">
        <f>(D13-F13)/D13</f>
        <v>0</v>
      </c>
      <c r="I13" s="11"/>
      <c r="J13" s="11"/>
    </row>
    <row r="14" spans="2:10" ht="18" customHeight="1" x14ac:dyDescent="0.5">
      <c r="B14" s="10"/>
      <c r="C14" s="11"/>
      <c r="D14" s="19"/>
      <c r="E14" s="28"/>
      <c r="F14" s="19"/>
      <c r="G14" s="11"/>
      <c r="H14" s="11"/>
      <c r="I14" s="11"/>
      <c r="J14" s="11"/>
    </row>
    <row r="15" spans="2:10" ht="18" customHeight="1" x14ac:dyDescent="0.5">
      <c r="B15" s="10" t="s">
        <v>137</v>
      </c>
      <c r="C15" s="11"/>
      <c r="D15" s="82">
        <f>D10+D11+(D12*D13)</f>
        <v>13</v>
      </c>
      <c r="E15" s="28"/>
      <c r="F15" s="82">
        <f>F10+F11+(F12*F13)</f>
        <v>0.30000000000000004</v>
      </c>
      <c r="G15" s="11"/>
      <c r="H15" s="83">
        <f>(D15-F15)/D15</f>
        <v>0.97692307692307689</v>
      </c>
      <c r="I15" s="11"/>
      <c r="J15" s="11"/>
    </row>
    <row r="16" spans="2:10" ht="18" customHeight="1" x14ac:dyDescent="0.5">
      <c r="B16" s="10" t="s">
        <v>138</v>
      </c>
      <c r="C16" s="11"/>
      <c r="D16" s="82">
        <f>D15*D9</f>
        <v>26</v>
      </c>
      <c r="E16" s="28"/>
      <c r="F16" s="82">
        <f>F15*F9</f>
        <v>6.0000000000000009</v>
      </c>
      <c r="G16" s="11"/>
      <c r="H16" s="83">
        <f>(D16-F16)/D16</f>
        <v>0.76923076923076927</v>
      </c>
      <c r="I16" s="11"/>
      <c r="J16" s="11"/>
    </row>
    <row r="17" spans="2:10" ht="18" customHeight="1" x14ac:dyDescent="0.5">
      <c r="B17" s="10"/>
      <c r="C17" s="11"/>
      <c r="D17" s="19"/>
      <c r="E17" s="11"/>
      <c r="F17" s="19"/>
      <c r="G17" s="11"/>
      <c r="H17" s="11"/>
      <c r="I17" s="11"/>
      <c r="J17" s="11"/>
    </row>
    <row r="18" spans="2:10" ht="18" customHeight="1" x14ac:dyDescent="0.5">
      <c r="B18" s="5" t="s">
        <v>127</v>
      </c>
      <c r="C18" s="13"/>
      <c r="D18" s="19"/>
      <c r="E18" s="11"/>
      <c r="F18" s="19"/>
      <c r="G18" s="11"/>
      <c r="H18" s="11"/>
      <c r="I18" s="11"/>
      <c r="J18" s="11"/>
    </row>
    <row r="19" spans="2:10" ht="18" customHeight="1" x14ac:dyDescent="0.5">
      <c r="B19" s="120" t="s">
        <v>136</v>
      </c>
      <c r="C19" s="13"/>
      <c r="D19" s="19"/>
      <c r="E19" s="11"/>
      <c r="F19" s="19"/>
      <c r="G19" s="11"/>
      <c r="H19" s="11"/>
      <c r="I19" s="11"/>
      <c r="J19" s="11"/>
    </row>
    <row r="20" spans="2:10" ht="18" customHeight="1" x14ac:dyDescent="0.5">
      <c r="B20" s="120" t="s">
        <v>131</v>
      </c>
      <c r="C20" s="13"/>
      <c r="D20" s="19"/>
      <c r="E20" s="11"/>
      <c r="F20" s="19"/>
      <c r="G20" s="11"/>
      <c r="H20" s="11"/>
      <c r="I20" s="11"/>
      <c r="J20" s="11"/>
    </row>
    <row r="21" spans="2:10" ht="18" customHeight="1" x14ac:dyDescent="0.5">
      <c r="B21" s="120" t="s">
        <v>130</v>
      </c>
      <c r="C21" s="13"/>
      <c r="D21" s="19"/>
      <c r="E21" s="11"/>
      <c r="F21" s="19"/>
      <c r="G21" s="11"/>
      <c r="H21" s="11"/>
      <c r="I21" s="11"/>
      <c r="J21" s="11"/>
    </row>
    <row r="22" spans="2:10" ht="18" customHeight="1" x14ac:dyDescent="0.5">
      <c r="B22" s="120" t="s">
        <v>128</v>
      </c>
      <c r="C22" s="13"/>
      <c r="D22" s="19"/>
      <c r="E22" s="11"/>
      <c r="F22" s="19"/>
      <c r="G22" s="11"/>
      <c r="H22" s="11"/>
      <c r="I22" s="11"/>
      <c r="J22" s="11"/>
    </row>
    <row r="23" spans="2:10" ht="18" customHeight="1" x14ac:dyDescent="0.5">
      <c r="B23" s="120" t="s">
        <v>129</v>
      </c>
      <c r="C23" s="13"/>
      <c r="D23" s="19"/>
      <c r="E23" s="11"/>
      <c r="F23" s="19"/>
      <c r="G23" s="11"/>
      <c r="H23" s="11"/>
      <c r="I23" s="11"/>
      <c r="J23" s="11"/>
    </row>
    <row r="24" spans="2:10" ht="18" customHeight="1" x14ac:dyDescent="0.5">
      <c r="B24" s="120" t="s">
        <v>132</v>
      </c>
      <c r="C24" s="13"/>
      <c r="D24" s="19"/>
      <c r="E24" s="11"/>
      <c r="F24" s="19"/>
      <c r="G24" s="11"/>
      <c r="H24" s="11"/>
      <c r="I24" s="11"/>
      <c r="J24" s="11"/>
    </row>
    <row r="25" spans="2:10" ht="18" customHeight="1" x14ac:dyDescent="0.5">
      <c r="B25" s="6"/>
      <c r="C25" s="11"/>
      <c r="D25" s="19"/>
      <c r="E25" s="11"/>
      <c r="F25" s="19"/>
      <c r="G25" s="11"/>
      <c r="H25" s="11"/>
      <c r="I25" s="11"/>
      <c r="J25" s="11"/>
    </row>
    <row r="26" spans="2:10" ht="18" customHeight="1" x14ac:dyDescent="0.5">
      <c r="B26" s="5" t="s">
        <v>140</v>
      </c>
      <c r="C26" s="13"/>
      <c r="D26" s="19"/>
      <c r="E26" s="11"/>
      <c r="F26" s="11"/>
      <c r="G26" s="11"/>
      <c r="H26" s="11"/>
      <c r="I26" s="11"/>
      <c r="J26" s="11"/>
    </row>
    <row r="27" spans="2:10" ht="18" customHeight="1" x14ac:dyDescent="0.5">
      <c r="B27" s="48" t="s">
        <v>87</v>
      </c>
      <c r="C27" s="14"/>
      <c r="D27" s="50" t="s">
        <v>141</v>
      </c>
      <c r="E27" s="14"/>
    </row>
    <row r="28" spans="2:10" ht="18" customHeight="1" x14ac:dyDescent="0.55000000000000004">
      <c r="B28" s="84" t="s">
        <v>0</v>
      </c>
      <c r="C28" s="32"/>
      <c r="D28" s="58">
        <f>(D16-F16)*(Productivity!D8/(40*52))</f>
        <v>1442.3076923076924</v>
      </c>
      <c r="E28" s="11"/>
    </row>
    <row r="29" spans="2:10" ht="18" customHeight="1" x14ac:dyDescent="0.5">
      <c r="B29" s="4"/>
      <c r="C29" s="11"/>
      <c r="D29" s="11"/>
      <c r="E29" s="11"/>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0"/>
  <sheetViews>
    <sheetView showGridLines="0" tabSelected="1" topLeftCell="A4" zoomScaleNormal="100" workbookViewId="0">
      <selection activeCell="D8" sqref="D8"/>
    </sheetView>
  </sheetViews>
  <sheetFormatPr defaultColWidth="9.1171875" defaultRowHeight="18" customHeight="1" x14ac:dyDescent="0.5"/>
  <cols>
    <col min="1" max="1" width="5.29296875" style="1" customWidth="1"/>
    <col min="2" max="2" width="73.29296875" style="1" customWidth="1"/>
    <col min="3" max="3" width="10" style="1" customWidth="1"/>
    <col min="4" max="4" width="15.87890625" style="20" customWidth="1"/>
    <col min="5" max="5" width="2.703125" style="20" customWidth="1"/>
    <col min="6" max="6" width="17.703125" style="20" customWidth="1"/>
    <col min="7" max="7" width="2.703125" style="20" customWidth="1"/>
    <col min="8" max="8" width="15.87890625" style="20" customWidth="1"/>
    <col min="9" max="9" width="2.703125" style="20" customWidth="1"/>
    <col min="10" max="10" width="15.29296875" style="20" customWidth="1"/>
    <col min="11" max="16384" width="9.1171875" style="1"/>
  </cols>
  <sheetData>
    <row r="1" spans="2:10" ht="18" customHeight="1" x14ac:dyDescent="0.6">
      <c r="B1" s="38" t="s">
        <v>203</v>
      </c>
      <c r="C1" s="127"/>
      <c r="D1" s="54"/>
    </row>
    <row r="2" spans="2:10" ht="18" customHeight="1" x14ac:dyDescent="0.5">
      <c r="B2" s="21" t="s">
        <v>174</v>
      </c>
      <c r="D2" s="1"/>
      <c r="E2" s="1"/>
      <c r="F2" s="1"/>
      <c r="G2" s="1"/>
      <c r="H2" s="1"/>
      <c r="I2" s="1"/>
      <c r="J2" s="1"/>
    </row>
    <row r="3" spans="2:10" ht="18" customHeight="1" x14ac:dyDescent="0.5">
      <c r="B3" s="21"/>
      <c r="D3" s="1"/>
      <c r="E3" s="1"/>
      <c r="F3" s="1"/>
      <c r="G3" s="1"/>
      <c r="H3" s="1"/>
      <c r="I3" s="1"/>
      <c r="J3" s="1"/>
    </row>
    <row r="4" spans="2:10" ht="18" customHeight="1" x14ac:dyDescent="0.5">
      <c r="B4" s="118" t="s">
        <v>175</v>
      </c>
      <c r="D4" s="128"/>
      <c r="E4" s="1"/>
      <c r="G4" s="1"/>
      <c r="H4" s="1"/>
      <c r="I4" s="1"/>
      <c r="J4" s="1"/>
    </row>
    <row r="5" spans="2:10" ht="18" customHeight="1" x14ac:dyDescent="0.5">
      <c r="B5" s="4"/>
      <c r="C5" s="11"/>
      <c r="D5" s="121"/>
      <c r="E5" s="41"/>
      <c r="G5" s="41"/>
      <c r="H5" s="41"/>
      <c r="I5" s="41"/>
      <c r="J5" s="41"/>
    </row>
    <row r="6" spans="2:10" s="24" customFormat="1" ht="18" customHeight="1" x14ac:dyDescent="0.5">
      <c r="B6" s="48" t="s">
        <v>142</v>
      </c>
      <c r="C6" s="49"/>
      <c r="D6" s="50" t="s">
        <v>12</v>
      </c>
      <c r="E6" s="50"/>
      <c r="F6" s="50" t="s">
        <v>13</v>
      </c>
      <c r="G6" s="50"/>
      <c r="H6" s="50" t="s">
        <v>21</v>
      </c>
      <c r="I6" s="50"/>
      <c r="J6" s="50" t="s">
        <v>1</v>
      </c>
    </row>
    <row r="7" spans="2:10" s="24" customFormat="1" ht="18" customHeight="1" x14ac:dyDescent="0.5">
      <c r="B7" s="6" t="s">
        <v>15</v>
      </c>
      <c r="D7" s="104">
        <v>198648</v>
      </c>
      <c r="E7" s="28"/>
      <c r="F7" s="52">
        <f>D7</f>
        <v>198648</v>
      </c>
      <c r="G7" s="28"/>
      <c r="H7" s="52">
        <f>D7</f>
        <v>198648</v>
      </c>
      <c r="I7" s="52"/>
      <c r="J7" s="52">
        <f>SUM(D7:H7)</f>
        <v>595944</v>
      </c>
    </row>
    <row r="8" spans="2:10" s="24" customFormat="1" ht="18" customHeight="1" x14ac:dyDescent="0.5">
      <c r="B8" s="6" t="s">
        <v>7</v>
      </c>
      <c r="D8" s="104">
        <v>23000</v>
      </c>
      <c r="E8" s="28"/>
      <c r="F8" s="52">
        <v>0</v>
      </c>
      <c r="G8" s="28"/>
      <c r="H8" s="52">
        <v>0</v>
      </c>
      <c r="I8" s="52"/>
      <c r="J8" s="52">
        <f>SUM(D8:H8)</f>
        <v>23000</v>
      </c>
    </row>
    <row r="9" spans="2:10" s="24" customFormat="1" ht="18" customHeight="1" x14ac:dyDescent="0.5">
      <c r="B9" s="6" t="s">
        <v>8</v>
      </c>
      <c r="D9" s="104">
        <v>52500</v>
      </c>
      <c r="E9" s="28"/>
      <c r="F9" s="52">
        <v>0</v>
      </c>
      <c r="G9" s="28"/>
      <c r="H9" s="52">
        <v>0</v>
      </c>
      <c r="I9" s="52"/>
      <c r="J9" s="52">
        <f>SUM(D9:H9)</f>
        <v>52500</v>
      </c>
    </row>
    <row r="10" spans="2:10" s="24" customFormat="1" ht="18" customHeight="1" x14ac:dyDescent="0.5">
      <c r="B10" s="64" t="s">
        <v>149</v>
      </c>
      <c r="C10" s="51"/>
      <c r="D10" s="65">
        <f>SUM(D7:D9)</f>
        <v>274148</v>
      </c>
      <c r="E10" s="66"/>
      <c r="F10" s="65">
        <f>SUM(F7:F9)</f>
        <v>198648</v>
      </c>
      <c r="G10" s="65"/>
      <c r="H10" s="65">
        <f>SUM(H7:H9)</f>
        <v>198648</v>
      </c>
      <c r="I10" s="65"/>
      <c r="J10" s="65">
        <f>SUM(J7:J9)</f>
        <v>671444</v>
      </c>
    </row>
    <row r="11" spans="2:10" ht="18" customHeight="1" x14ac:dyDescent="0.5">
      <c r="B11" s="4"/>
      <c r="C11" s="4"/>
      <c r="D11" s="56"/>
      <c r="E11" s="56"/>
      <c r="F11" s="86"/>
      <c r="G11" s="56"/>
      <c r="H11" s="56"/>
      <c r="I11" s="56"/>
      <c r="J11" s="56"/>
    </row>
    <row r="12" spans="2:10" s="24" customFormat="1" ht="18" customHeight="1" x14ac:dyDescent="0.5">
      <c r="B12" s="48" t="s">
        <v>143</v>
      </c>
      <c r="C12" s="50" t="s">
        <v>144</v>
      </c>
      <c r="D12" s="50" t="s">
        <v>12</v>
      </c>
      <c r="E12" s="50"/>
      <c r="F12" s="50" t="s">
        <v>13</v>
      </c>
      <c r="G12" s="50"/>
      <c r="H12" s="50" t="s">
        <v>21</v>
      </c>
      <c r="I12" s="50"/>
      <c r="J12" s="50" t="s">
        <v>1</v>
      </c>
    </row>
    <row r="13" spans="2:10" s="24" customFormat="1" ht="18" customHeight="1" x14ac:dyDescent="0.5">
      <c r="B13" s="10" t="s">
        <v>282</v>
      </c>
      <c r="C13" s="113">
        <v>40</v>
      </c>
      <c r="D13" s="87">
        <f>C13*Productivity!D6*(Productivity!D8/(40*52))</f>
        <v>28846.153846153844</v>
      </c>
      <c r="E13" s="28"/>
      <c r="F13" s="52">
        <v>0</v>
      </c>
      <c r="G13" s="28"/>
      <c r="H13" s="52">
        <v>0</v>
      </c>
      <c r="I13" s="52"/>
      <c r="J13" s="52">
        <f>SUM(D13:H13)</f>
        <v>28846.153846153844</v>
      </c>
    </row>
    <row r="14" spans="2:10" s="24" customFormat="1" ht="18" customHeight="1" x14ac:dyDescent="0.5">
      <c r="B14" s="10" t="s">
        <v>146</v>
      </c>
      <c r="C14" s="113">
        <v>40</v>
      </c>
      <c r="D14" s="87">
        <f>C14*Productivity!D7*(Productivity!D9/(40*52))</f>
        <v>3846.1538461538466</v>
      </c>
      <c r="E14" s="28"/>
      <c r="F14" s="52">
        <v>0</v>
      </c>
      <c r="G14" s="28"/>
      <c r="H14" s="52">
        <v>0</v>
      </c>
      <c r="I14" s="52"/>
      <c r="J14" s="52">
        <f>SUM(D14:H14)</f>
        <v>3846.1538461538466</v>
      </c>
    </row>
    <row r="15" spans="2:10" s="24" customFormat="1" ht="18" customHeight="1" x14ac:dyDescent="0.5">
      <c r="B15" s="10" t="s">
        <v>147</v>
      </c>
      <c r="C15" s="113">
        <v>40</v>
      </c>
      <c r="D15" s="87">
        <f>C15*Productivity!D7*(Productivity!D9/(40*52))</f>
        <v>3846.1538461538466</v>
      </c>
      <c r="E15" s="28"/>
      <c r="F15" s="52">
        <v>0</v>
      </c>
      <c r="G15" s="28"/>
      <c r="H15" s="52">
        <v>0</v>
      </c>
      <c r="I15" s="52"/>
      <c r="J15" s="52">
        <f>SUM(D15:H15)</f>
        <v>3846.1538461538466</v>
      </c>
    </row>
    <row r="16" spans="2:10" s="24" customFormat="1" ht="18" customHeight="1" x14ac:dyDescent="0.5">
      <c r="B16" s="10" t="s">
        <v>148</v>
      </c>
      <c r="C16" s="113">
        <v>40</v>
      </c>
      <c r="D16" s="87">
        <f>C16*Productivity!D7*(Productivity!D9/(40*52))</f>
        <v>3846.1538461538466</v>
      </c>
      <c r="E16" s="28"/>
      <c r="F16" s="52">
        <v>0</v>
      </c>
      <c r="G16" s="28"/>
      <c r="H16" s="52">
        <v>0</v>
      </c>
      <c r="I16" s="52"/>
      <c r="J16" s="52">
        <f>SUM(D16:H16)</f>
        <v>3846.1538461538466</v>
      </c>
    </row>
    <row r="17" spans="2:10" s="24" customFormat="1" ht="18" customHeight="1" x14ac:dyDescent="0.5">
      <c r="B17" s="10" t="s">
        <v>145</v>
      </c>
      <c r="C17" s="113">
        <v>2</v>
      </c>
      <c r="D17" s="52">
        <f>C17*52*Productivity!D7*(Productivity!D9/(40*52))</f>
        <v>10000</v>
      </c>
      <c r="E17" s="28"/>
      <c r="F17" s="52">
        <f>C17*52*Productivity!D7*(Productivity!D9/(52*40))</f>
        <v>10000</v>
      </c>
      <c r="G17" s="28"/>
      <c r="H17" s="52">
        <f>C17*52*Productivity!D7*(Productivity!D9/(52*40))</f>
        <v>10000</v>
      </c>
      <c r="I17" s="85"/>
      <c r="J17" s="52">
        <f>SUM(D17:H17)</f>
        <v>30000</v>
      </c>
    </row>
    <row r="18" spans="2:10" s="24" customFormat="1" ht="18" customHeight="1" x14ac:dyDescent="0.5">
      <c r="B18" s="64" t="s">
        <v>150</v>
      </c>
      <c r="C18" s="51"/>
      <c r="D18" s="65">
        <f>SUM(D13:D17)</f>
        <v>50384.615384615383</v>
      </c>
      <c r="E18" s="66"/>
      <c r="F18" s="65">
        <f>SUM(F13:F17)</f>
        <v>10000</v>
      </c>
      <c r="G18" s="65"/>
      <c r="H18" s="65">
        <f>SUM(H13:H17)</f>
        <v>10000</v>
      </c>
      <c r="I18" s="65"/>
      <c r="J18" s="65">
        <f>SUM(J13:J17)</f>
        <v>70384.615384615376</v>
      </c>
    </row>
    <row r="19" spans="2:10" ht="18" customHeight="1" x14ac:dyDescent="0.5">
      <c r="B19" s="4"/>
      <c r="C19" s="4"/>
      <c r="D19" s="56"/>
      <c r="E19" s="56"/>
      <c r="F19" s="56"/>
      <c r="G19" s="56"/>
      <c r="H19" s="56"/>
      <c r="I19" s="56"/>
      <c r="J19" s="56"/>
    </row>
    <row r="20" spans="2:10" ht="18" customHeight="1" x14ac:dyDescent="0.55000000000000004">
      <c r="B20" s="91" t="s">
        <v>151</v>
      </c>
      <c r="C20" s="34"/>
      <c r="D20" s="89">
        <f>D10+D18</f>
        <v>324532.61538461538</v>
      </c>
      <c r="E20" s="90"/>
      <c r="F20" s="89">
        <f t="shared" ref="F20:J20" si="0">F10+F18</f>
        <v>208648</v>
      </c>
      <c r="G20" s="89"/>
      <c r="H20" s="89">
        <f t="shared" si="0"/>
        <v>208648</v>
      </c>
      <c r="I20" s="89"/>
      <c r="J20" s="89">
        <f t="shared" si="0"/>
        <v>741828.61538461538</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Productivity</vt:lpstr>
      <vt:lpstr>Test Productivity</vt:lpstr>
      <vt:lpstr>Utilization</vt:lpstr>
      <vt:lpstr>Operational Expenses</vt:lpstr>
      <vt:lpstr>Time to Market</vt:lpstr>
      <vt:lpstr>Network Down Time</vt:lpstr>
      <vt:lpstr>Collaboration</vt:lpstr>
      <vt:lpstr>Investment</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Kuperman</dc:creator>
  <cp:lastModifiedBy>charlesreynolds</cp:lastModifiedBy>
  <dcterms:created xsi:type="dcterms:W3CDTF">2012-06-27T09:05:48Z</dcterms:created>
  <dcterms:modified xsi:type="dcterms:W3CDTF">2021-01-14T16:50:18Z</dcterms:modified>
</cp:coreProperties>
</file>